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20" windowHeight="8190" tabRatio="458" activeTab="0"/>
  </bookViews>
  <sheets>
    <sheet name="Read Me" sheetId="1" r:id="rId1"/>
    <sheet name="1 DT" sheetId="2" r:id="rId2"/>
    <sheet name="Graphs" sheetId="3" r:id="rId3"/>
    <sheet name="Series" sheetId="4" r:id="rId4"/>
    <sheet name="GPE" sheetId="5" r:id="rId5"/>
    <sheet name="Utility" sheetId="6" r:id="rId6"/>
    <sheet name="IState" sheetId="7" r:id="rId7"/>
    <sheet name="Module1" sheetId="8" state="hidden" r:id="rId8"/>
    <sheet name="Module2" sheetId="9" state="hidden" r:id="rId9"/>
  </sheets>
  <definedNames>
    <definedName name="B_2">'1 DT'!$M$42</definedName>
    <definedName name="BOX">'Series'!$C$8:$N$40</definedName>
    <definedName name="BUFFER">'Series'!$C$5:$M$5</definedName>
    <definedName name="Capital">'1 DT'!$G$30:$G$37</definedName>
    <definedName name="Chi">'1 DT'!$V$64</definedName>
    <definedName name="DT">'1 DT'!$B$32</definedName>
    <definedName name="Gamma">'1 DT'!$I$22</definedName>
    <definedName name="ICapital">'IState'!$D$43:$D$50</definedName>
    <definedName name="ISave">'IState'!$F$43:$F$70</definedName>
    <definedName name="ISData">'Series'!$S$16:$T$36</definedName>
    <definedName name="IState">'IState'!$H$43:$M$73</definedName>
    <definedName name="ITerm">'IState'!$F$11</definedName>
    <definedName name="IUij">'Utility'!$G$37:$K$42</definedName>
    <definedName name="IVj">'IState'!$H$14:$M$14</definedName>
    <definedName name="K_1">'1 DT'!$G$33</definedName>
    <definedName name="K_2">'1 DT'!$G$34</definedName>
    <definedName name="K_3">'1 DT'!$G$35</definedName>
    <definedName name="Kappa">'1 DT'!$G$22</definedName>
    <definedName name="NCapital">'1 DT'!$G$102:$G$109</definedName>
    <definedName name="NLINE">'Series'!$C$39</definedName>
    <definedName name="NPV">'1 DT'!$I$72</definedName>
    <definedName name="NSave">'1 DT'!$I$102:$I$129</definedName>
    <definedName name="NState">'1 DT'!$K$102:$P$132</definedName>
    <definedName name="NTerm">'1 DT'!$I$132</definedName>
    <definedName name="Nu">'1 DT'!$G$12</definedName>
    <definedName name="P0">'1 DT'!$AM$64</definedName>
    <definedName name="PER">'1 DT'!$B$33</definedName>
    <definedName name="S0">'1 DT'!$X$57</definedName>
    <definedName name="Save">'1 DT'!$I$30:$I$57</definedName>
    <definedName name="SData">'Series'!$U$16:$V$36</definedName>
    <definedName name="Sigma0">'1 DT'!#REF!</definedName>
    <definedName name="SIMLEN">'1 DT'!$B$31</definedName>
    <definedName name="State">'1 DT'!$K$30:$P$60</definedName>
    <definedName name="Term">'1 DT'!$I$60</definedName>
    <definedName name="TicToc">'1 DT'!$B$34</definedName>
    <definedName name="U00">'1 DT'!$AM$7</definedName>
    <definedName name="Uij">'1 DT'!$AN$7:$AR$12</definedName>
    <definedName name="Ull">'1 DT'!$AQ$11</definedName>
    <definedName name="Unn">'1 DT'!$AR$12</definedName>
    <definedName name="V0">'1 DT'!$K$12</definedName>
    <definedName name="Vj">'1 DT'!$K$12:$P$12</definedName>
    <definedName name="Z_2">'1 DT'!$AO$7</definedName>
    <definedName name="Z0">'1 DT'!$AT$7</definedName>
    <definedName name="Zl">'1 DT'!$AT$11</definedName>
    <definedName name="Zn">'1 DT'!$AT$12</definedName>
  </definedNames>
  <calcPr fullCalcOnLoad="1"/>
</workbook>
</file>

<file path=xl/sharedStrings.xml><?xml version="1.0" encoding="utf-8"?>
<sst xmlns="http://schemas.openxmlformats.org/spreadsheetml/2006/main" count="987" uniqueCount="209">
  <si>
    <t>L</t>
  </si>
  <si>
    <t>N</t>
  </si>
  <si>
    <t>u</t>
  </si>
  <si>
    <t>0</t>
  </si>
  <si>
    <t>1</t>
  </si>
  <si>
    <t>h</t>
  </si>
  <si>
    <t>2</t>
  </si>
  <si>
    <t>3</t>
  </si>
  <si>
    <r>
      <t>V</t>
    </r>
    <r>
      <rPr>
        <b/>
        <vertAlign val="subscript"/>
        <sz val="10"/>
        <color indexed="16"/>
        <rFont val="Arial"/>
        <family val="2"/>
      </rPr>
      <t>0</t>
    </r>
  </si>
  <si>
    <r>
      <t>-</t>
    </r>
    <r>
      <rPr>
        <b/>
        <sz val="10"/>
        <color indexed="16"/>
        <rFont val="Arial"/>
        <family val="2"/>
      </rPr>
      <t>N</t>
    </r>
  </si>
  <si>
    <t>¡</t>
  </si>
  <si>
    <t>e</t>
  </si>
  <si>
    <t>hQ</t>
  </si>
  <si>
    <t>SIMLEN:</t>
  </si>
  <si>
    <t>DT:</t>
  </si>
  <si>
    <t>PER:</t>
  </si>
  <si>
    <t>TIME:</t>
  </si>
  <si>
    <t>w</t>
  </si>
  <si>
    <t>Z</t>
  </si>
  <si>
    <t>l</t>
  </si>
  <si>
    <t>Y</t>
  </si>
  <si>
    <t xml:space="preserve"> u + e</t>
  </si>
  <si>
    <t>hb</t>
  </si>
  <si>
    <t>z</t>
  </si>
  <si>
    <t>hz</t>
  </si>
  <si>
    <t>r</t>
  </si>
  <si>
    <t>Time Series of Output, Supply and Demand</t>
  </si>
  <si>
    <t>Time Series of Interest Rates</t>
  </si>
  <si>
    <t>for Good #2</t>
  </si>
  <si>
    <t>and the Currency Value</t>
  </si>
  <si>
    <t>Time Series of Price, Marginal Cost, and</t>
  </si>
  <si>
    <t>Supply and Demand Schedules</t>
  </si>
  <si>
    <t>Marginal Values for Good #2</t>
  </si>
  <si>
    <t>BUFFER -&gt;</t>
  </si>
  <si>
    <t>BOX:</t>
  </si>
  <si>
    <t>year</t>
  </si>
  <si>
    <r>
      <t>Y</t>
    </r>
    <r>
      <rPr>
        <b/>
        <vertAlign val="subscript"/>
        <sz val="12"/>
        <rFont val="Symbol"/>
        <family val="1"/>
      </rPr>
      <t>2</t>
    </r>
  </si>
  <si>
    <r>
      <t>S</t>
    </r>
    <r>
      <rPr>
        <b/>
        <vertAlign val="subscript"/>
        <sz val="12"/>
        <rFont val="Symbol"/>
        <family val="1"/>
      </rPr>
      <t>2</t>
    </r>
  </si>
  <si>
    <r>
      <t>D</t>
    </r>
    <r>
      <rPr>
        <b/>
        <vertAlign val="subscript"/>
        <sz val="12"/>
        <rFont val="Symbol"/>
        <family val="1"/>
      </rPr>
      <t>2</t>
    </r>
  </si>
  <si>
    <r>
      <t>P</t>
    </r>
    <r>
      <rPr>
        <b/>
        <vertAlign val="subscript"/>
        <sz val="10"/>
        <rFont val="Courier New"/>
        <family val="3"/>
      </rPr>
      <t>2</t>
    </r>
  </si>
  <si>
    <r>
      <t>MC</t>
    </r>
    <r>
      <rPr>
        <b/>
        <vertAlign val="subscript"/>
        <sz val="10"/>
        <rFont val="Courier New"/>
        <family val="3"/>
      </rPr>
      <t>2</t>
    </r>
  </si>
  <si>
    <r>
      <t>VMP</t>
    </r>
    <r>
      <rPr>
        <b/>
        <vertAlign val="subscript"/>
        <sz val="10"/>
        <rFont val="Courier New"/>
        <family val="3"/>
      </rPr>
      <t>1</t>
    </r>
  </si>
  <si>
    <r>
      <t>VMP</t>
    </r>
    <r>
      <rPr>
        <b/>
        <vertAlign val="subscript"/>
        <sz val="10"/>
        <rFont val="Courier New"/>
        <family val="3"/>
      </rPr>
      <t>L</t>
    </r>
  </si>
  <si>
    <r>
      <t>P</t>
    </r>
    <r>
      <rPr>
        <b/>
        <vertAlign val="subscript"/>
        <sz val="10"/>
        <rFont val="Courier New"/>
        <family val="3"/>
      </rPr>
      <t>*</t>
    </r>
  </si>
  <si>
    <r>
      <t>b</t>
    </r>
    <r>
      <rPr>
        <vertAlign val="subscript"/>
        <sz val="10"/>
        <rFont val="Symbol"/>
        <family val="1"/>
      </rPr>
      <t>2</t>
    </r>
  </si>
  <si>
    <r>
      <t>Z</t>
    </r>
    <r>
      <rPr>
        <vertAlign val="subscript"/>
        <sz val="10"/>
        <rFont val="Arial"/>
        <family val="2"/>
      </rPr>
      <t>2</t>
    </r>
  </si>
  <si>
    <r>
      <t>b</t>
    </r>
    <r>
      <rPr>
        <vertAlign val="subscript"/>
        <sz val="10"/>
        <rFont val="Symbol"/>
        <family val="1"/>
      </rPr>
      <t>1-2-3</t>
    </r>
  </si>
  <si>
    <r>
      <t>U</t>
    </r>
    <r>
      <rPr>
        <vertAlign val="subscript"/>
        <sz val="10"/>
        <rFont val="Arial"/>
        <family val="2"/>
      </rPr>
      <t>1-2-3</t>
    </r>
  </si>
  <si>
    <t>INITIAL</t>
  </si>
  <si>
    <r>
      <t>Q</t>
    </r>
    <r>
      <rPr>
        <vertAlign val="subscript"/>
        <sz val="10"/>
        <rFont val="Arial"/>
        <family val="2"/>
      </rPr>
      <t>1</t>
    </r>
  </si>
  <si>
    <t>s</t>
  </si>
  <si>
    <t>d</t>
  </si>
  <si>
    <t>S</t>
  </si>
  <si>
    <t>D</t>
  </si>
  <si>
    <t>VALUE</t>
  </si>
  <si>
    <t>CAPITAL</t>
  </si>
  <si>
    <t>GENERAL</t>
  </si>
  <si>
    <t>NON_DUR</t>
  </si>
  <si>
    <t>BOURGS</t>
  </si>
  <si>
    <t>PRLTRT</t>
  </si>
  <si>
    <t xml:space="preserve">+ XPT; </t>
  </si>
  <si>
    <t xml:space="preserve"> - MPT</t>
  </si>
  <si>
    <t xml:space="preserve">Experimenters are invited to change </t>
  </si>
  <si>
    <t>Interest rate</t>
  </si>
  <si>
    <t>Prices</t>
  </si>
  <si>
    <t>Investment Fractions</t>
  </si>
  <si>
    <r>
      <t xml:space="preserve">% return </t>
    </r>
    <r>
      <rPr>
        <b/>
        <sz val="10"/>
        <color indexed="16"/>
        <rFont val="MS Sans Serif"/>
        <family val="2"/>
      </rPr>
      <t xml:space="preserve"> &gt;</t>
    </r>
  </si>
  <si>
    <t>on asset</t>
  </si>
  <si>
    <t>turnover</t>
  </si>
  <si>
    <t>Sectors' Production and Utility Tradeoffs, physical units/year</t>
  </si>
  <si>
    <t>Commodities' Turnover Fractions, dimensionless / year</t>
  </si>
  <si>
    <t>Investment Term</t>
  </si>
  <si>
    <t>yrs.</t>
  </si>
  <si>
    <t>P</t>
  </si>
  <si>
    <t>Q</t>
  </si>
  <si>
    <r>
      <t xml:space="preserve"> </t>
    </r>
    <r>
      <rPr>
        <b/>
        <sz val="10"/>
        <color indexed="16"/>
        <rFont val="MS Sans Serif"/>
        <family val="2"/>
      </rPr>
      <t>&lt;</t>
    </r>
    <r>
      <rPr>
        <b/>
        <sz val="10"/>
        <color indexed="16"/>
        <rFont val="Arial"/>
        <family val="2"/>
      </rPr>
      <t xml:space="preserve"> Supply</t>
    </r>
  </si>
  <si>
    <t>appears within the marquee.</t>
  </si>
  <si>
    <r>
      <t xml:space="preserve"> l/</t>
    </r>
    <r>
      <rPr>
        <b/>
        <sz val="10"/>
        <color indexed="12"/>
        <rFont val="Arial"/>
        <family val="2"/>
      </rPr>
      <t>Z</t>
    </r>
  </si>
  <si>
    <t>p</t>
  </si>
  <si>
    <t>V</t>
  </si>
  <si>
    <t>A</t>
  </si>
  <si>
    <t>B</t>
  </si>
  <si>
    <t>C</t>
  </si>
  <si>
    <t>U</t>
  </si>
  <si>
    <t>E</t>
  </si>
  <si>
    <t>W</t>
  </si>
  <si>
    <t>H</t>
  </si>
  <si>
    <r>
      <t xml:space="preserve"> </t>
    </r>
    <r>
      <rPr>
        <b/>
        <sz val="10"/>
        <color indexed="16"/>
        <rFont val="MS Sans Serif"/>
        <family val="2"/>
      </rPr>
      <t>&lt;</t>
    </r>
    <r>
      <rPr>
        <b/>
        <sz val="10"/>
        <color indexed="16"/>
        <rFont val="Arial"/>
        <family val="2"/>
      </rPr>
      <t xml:space="preserve"> Market</t>
    </r>
  </si>
  <si>
    <t xml:space="preserve">    Pressure</t>
  </si>
  <si>
    <r>
      <t>Y</t>
    </r>
    <r>
      <rPr>
        <b/>
        <sz val="10"/>
        <color indexed="58"/>
        <rFont val="Arial"/>
        <family val="2"/>
      </rPr>
      <t>U</t>
    </r>
  </si>
  <si>
    <r>
      <t>m</t>
    </r>
  </si>
  <si>
    <r>
      <t xml:space="preserve">- </t>
    </r>
    <r>
      <rPr>
        <b/>
        <sz val="10"/>
        <color indexed="12"/>
        <rFont val="Arial"/>
        <family val="2"/>
      </rPr>
      <t>Y/</t>
    </r>
    <r>
      <rPr>
        <b/>
        <sz val="12"/>
        <color indexed="12"/>
        <rFont val="Symbol"/>
        <family val="1"/>
      </rPr>
      <t>l</t>
    </r>
  </si>
  <si>
    <r>
      <t>H</t>
    </r>
    <r>
      <rPr>
        <b/>
        <sz val="12"/>
        <color indexed="58"/>
        <rFont val="Symbol"/>
        <family val="1"/>
      </rPr>
      <t>Q</t>
    </r>
  </si>
  <si>
    <r>
      <t>H</t>
    </r>
    <r>
      <rPr>
        <b/>
        <sz val="12"/>
        <color indexed="17"/>
        <rFont val="Symbol"/>
        <family val="1"/>
      </rPr>
      <t>z</t>
    </r>
  </si>
  <si>
    <r>
      <t>H</t>
    </r>
    <r>
      <rPr>
        <b/>
        <sz val="12"/>
        <color indexed="17"/>
        <rFont val="Symbol"/>
        <family val="1"/>
      </rPr>
      <t>b</t>
    </r>
  </si>
  <si>
    <r>
      <t>P</t>
    </r>
    <r>
      <rPr>
        <b/>
        <sz val="10"/>
        <color indexed="16"/>
        <rFont val="MS Sans Serif"/>
        <family val="2"/>
      </rPr>
      <t xml:space="preserve"> </t>
    </r>
  </si>
  <si>
    <r>
      <t>F</t>
    </r>
  </si>
  <si>
    <t>PR</t>
  </si>
  <si>
    <t>R</t>
  </si>
  <si>
    <t xml:space="preserve">      Monetary</t>
  </si>
  <si>
    <r>
      <t xml:space="preserve"> </t>
    </r>
    <r>
      <rPr>
        <b/>
        <sz val="10"/>
        <color indexed="17"/>
        <rFont val="MS Sans Serif"/>
        <family val="2"/>
      </rPr>
      <t>&lt;</t>
    </r>
    <r>
      <rPr>
        <b/>
        <sz val="10"/>
        <color indexed="17"/>
        <rFont val="Arial"/>
        <family val="2"/>
      </rPr>
      <t xml:space="preserve">   Transactions</t>
    </r>
  </si>
  <si>
    <t>───</t>
  </si>
  <si>
    <r>
      <t>Q</t>
    </r>
    <r>
      <rPr>
        <b/>
        <sz val="10"/>
        <color indexed="58"/>
        <rFont val="MS Sans Serif"/>
        <family val="2"/>
      </rPr>
      <t xml:space="preserve"> </t>
    </r>
  </si>
  <si>
    <r>
      <t>Z</t>
    </r>
    <r>
      <rPr>
        <b/>
        <vertAlign val="subscript"/>
        <sz val="10"/>
        <color indexed="16"/>
        <rFont val="Arial"/>
        <family val="2"/>
      </rPr>
      <t>L</t>
    </r>
  </si>
  <si>
    <t>n</t>
  </si>
  <si>
    <t>a</t>
  </si>
  <si>
    <t>k</t>
  </si>
  <si>
    <t>g</t>
  </si>
  <si>
    <r>
      <t xml:space="preserve">Balance </t>
    </r>
    <r>
      <rPr>
        <b/>
        <sz val="10"/>
        <color indexed="17"/>
        <rFont val="MS Sans Serif"/>
        <family val="2"/>
      </rPr>
      <t>&gt;</t>
    </r>
  </si>
  <si>
    <r>
      <t xml:space="preserve">Consumption </t>
    </r>
    <r>
      <rPr>
        <b/>
        <sz val="10"/>
        <color indexed="17"/>
        <rFont val="MS Sans Serif"/>
        <family val="2"/>
      </rPr>
      <t>&gt;</t>
    </r>
  </si>
  <si>
    <t xml:space="preserve">    Change</t>
  </si>
  <si>
    <t xml:space="preserve">    Optimal</t>
  </si>
  <si>
    <r>
      <t xml:space="preserve"> </t>
    </r>
    <r>
      <rPr>
        <b/>
        <sz val="10"/>
        <color indexed="16"/>
        <rFont val="MS Sans Serif"/>
        <family val="2"/>
      </rPr>
      <t>&lt;</t>
    </r>
    <r>
      <rPr>
        <b/>
        <sz val="10"/>
        <color indexed="16"/>
        <rFont val="Arial"/>
        <family val="2"/>
      </rPr>
      <t xml:space="preserve"> Rates of</t>
    </r>
  </si>
  <si>
    <t>t</t>
  </si>
  <si>
    <t>-n</t>
  </si>
  <si>
    <t>FI</t>
  </si>
  <si>
    <r>
      <t xml:space="preserve">     </t>
    </r>
    <r>
      <rPr>
        <b/>
        <sz val="10"/>
        <color indexed="16"/>
        <rFont val="Arial"/>
        <family val="2"/>
      </rPr>
      <t>at time = t</t>
    </r>
    <r>
      <rPr>
        <b/>
        <sz val="12"/>
        <color indexed="16"/>
        <rFont val="Symbol"/>
        <family val="1"/>
      </rPr>
      <t xml:space="preserve"> </t>
    </r>
    <r>
      <rPr>
        <b/>
        <sz val="10"/>
        <color indexed="16"/>
        <rFont val="MS Sans Serif"/>
        <family val="2"/>
      </rPr>
      <t>&gt;</t>
    </r>
  </si>
  <si>
    <t>PU</t>
  </si>
  <si>
    <t>NPV</t>
  </si>
  <si>
    <r>
      <t>G</t>
    </r>
    <r>
      <rPr>
        <b/>
        <sz val="12"/>
        <rFont val="Symbol"/>
        <family val="1"/>
      </rPr>
      <t>/</t>
    </r>
    <r>
      <rPr>
        <b/>
        <sz val="10"/>
        <color indexed="17"/>
        <rFont val="Arial"/>
        <family val="2"/>
      </rPr>
      <t>$</t>
    </r>
  </si>
  <si>
    <r>
      <t xml:space="preserve">    </t>
    </r>
    <r>
      <rPr>
        <b/>
        <strike/>
        <sz val="10"/>
        <color indexed="58"/>
        <rFont val="Arial"/>
        <family val="2"/>
      </rPr>
      <t>G</t>
    </r>
    <r>
      <rPr>
        <b/>
        <sz val="12"/>
        <rFont val="Symbol"/>
        <family val="1"/>
      </rPr>
      <t>/</t>
    </r>
    <r>
      <rPr>
        <b/>
        <sz val="10"/>
        <rFont val="Arial"/>
        <family val="2"/>
      </rPr>
      <t>unit</t>
    </r>
  </si>
  <si>
    <r>
      <t xml:space="preserve">any data set in </t>
    </r>
    <r>
      <rPr>
        <b/>
        <sz val="12"/>
        <color indexed="10"/>
        <rFont val="Arial"/>
        <family val="2"/>
      </rPr>
      <t>red</t>
    </r>
    <r>
      <rPr>
        <b/>
        <sz val="12"/>
        <rFont val="Arial"/>
        <family val="2"/>
      </rPr>
      <t xml:space="preserve"> type that</t>
    </r>
  </si>
  <si>
    <r>
      <t>Z</t>
    </r>
    <r>
      <rPr>
        <b/>
        <vertAlign val="subscript"/>
        <sz val="10"/>
        <color indexed="16"/>
        <rFont val="Arial"/>
        <family val="2"/>
      </rPr>
      <t>N</t>
    </r>
  </si>
  <si>
    <t>Investment</t>
  </si>
  <si>
    <t>Saving</t>
  </si>
  <si>
    <t>Maturing</t>
  </si>
  <si>
    <t>Value</t>
  </si>
  <si>
    <t xml:space="preserve">    Demand</t>
  </si>
  <si>
    <t>b = e/w</t>
  </si>
  <si>
    <t xml:space="preserve">Cost of Sales   </t>
  </si>
  <si>
    <t xml:space="preserve">Trade   </t>
  </si>
  <si>
    <t xml:space="preserve">Minus Wages   </t>
  </si>
  <si>
    <t xml:space="preserve">Interaction   </t>
  </si>
  <si>
    <t xml:space="preserve">with Prices   </t>
  </si>
  <si>
    <t xml:space="preserve">Marginal Product   </t>
  </si>
  <si>
    <t xml:space="preserve">Intersection of   </t>
  </si>
  <si>
    <t xml:space="preserve">    Interaction</t>
  </si>
  <si>
    <t xml:space="preserve">    with Values</t>
  </si>
  <si>
    <t>Spatial Parameters,</t>
  </si>
  <si>
    <t>i.e.: production and</t>
  </si>
  <si>
    <r>
      <t xml:space="preserve">     </t>
    </r>
    <r>
      <rPr>
        <b/>
        <sz val="10"/>
        <color indexed="16"/>
        <rFont val="Arial"/>
        <family val="2"/>
      </rPr>
      <t>System State</t>
    </r>
  </si>
  <si>
    <r>
      <t xml:space="preserve">Principal </t>
    </r>
    <r>
      <rPr>
        <b/>
        <sz val="10"/>
        <color indexed="17"/>
        <rFont val="MS Sans Serif"/>
        <family val="2"/>
      </rPr>
      <t>&gt;</t>
    </r>
  </si>
  <si>
    <r>
      <t>Calculation</t>
    </r>
    <r>
      <rPr>
        <b/>
        <sz val="12"/>
        <color indexed="16"/>
        <rFont val="Symbol"/>
        <family val="1"/>
      </rPr>
      <t xml:space="preserve"> </t>
    </r>
    <r>
      <rPr>
        <b/>
        <sz val="10"/>
        <color indexed="16"/>
        <rFont val="MS Sans Serif"/>
        <family val="2"/>
      </rPr>
      <t>&gt;</t>
    </r>
  </si>
  <si>
    <r>
      <t xml:space="preserve">1/(N </t>
    </r>
    <r>
      <rPr>
        <b/>
        <sz val="8"/>
        <color indexed="16"/>
        <rFont val="Symbol"/>
        <family val="1"/>
      </rPr>
      <t>+</t>
    </r>
    <r>
      <rPr>
        <b/>
        <sz val="8"/>
        <color indexed="16"/>
        <rFont val="Arial"/>
        <family val="2"/>
      </rPr>
      <t xml:space="preserve"> 1)</t>
    </r>
  </si>
  <si>
    <r>
      <t xml:space="preserve">Dividends </t>
    </r>
    <r>
      <rPr>
        <b/>
        <sz val="10"/>
        <color indexed="17"/>
        <rFont val="MS Sans Serif"/>
        <family val="2"/>
      </rPr>
      <t xml:space="preserve">&gt; </t>
    </r>
  </si>
  <si>
    <r>
      <t xml:space="preserve">Currency </t>
    </r>
    <r>
      <rPr>
        <b/>
        <sz val="10"/>
        <color indexed="16"/>
        <rFont val="MS Sans Serif"/>
        <family val="2"/>
      </rPr>
      <t xml:space="preserve">&gt; </t>
    </r>
  </si>
  <si>
    <r>
      <t xml:space="preserve">utility tradeoffs </t>
    </r>
    <r>
      <rPr>
        <b/>
        <sz val="10"/>
        <color indexed="16"/>
        <rFont val="MS Sans Serif"/>
        <family val="2"/>
      </rPr>
      <t>&gt;</t>
    </r>
  </si>
  <si>
    <r>
      <t xml:space="preserve">S/D Schedules </t>
    </r>
    <r>
      <rPr>
        <b/>
        <sz val="10"/>
        <color indexed="16"/>
        <rFont val="MS Sans Serif"/>
        <family val="2"/>
      </rPr>
      <t>&gt;</t>
    </r>
  </si>
  <si>
    <r>
      <t xml:space="preserve">Values of </t>
    </r>
    <r>
      <rPr>
        <b/>
        <sz val="10"/>
        <color indexed="16"/>
        <rFont val="MS Sans Serif"/>
        <family val="2"/>
      </rPr>
      <t xml:space="preserve">&gt; </t>
    </r>
  </si>
  <si>
    <r>
      <t xml:space="preserve"> </t>
    </r>
    <r>
      <rPr>
        <b/>
        <sz val="10"/>
        <color indexed="16"/>
        <rFont val="MS Sans Serif"/>
        <family val="2"/>
      </rPr>
      <t>&lt;</t>
    </r>
    <r>
      <rPr>
        <b/>
        <sz val="10"/>
        <color indexed="16"/>
        <rFont val="Arial"/>
        <family val="2"/>
      </rPr>
      <t>Values</t>
    </r>
  </si>
  <si>
    <r>
      <t>&lt;</t>
    </r>
    <r>
      <rPr>
        <b/>
        <sz val="10"/>
        <color indexed="16"/>
        <rFont val="Arial"/>
        <family val="2"/>
      </rPr>
      <t xml:space="preserve"> of Utility</t>
    </r>
  </si>
  <si>
    <r>
      <t xml:space="preserve"> </t>
    </r>
    <r>
      <rPr>
        <b/>
        <sz val="10"/>
        <color indexed="16"/>
        <rFont val="MS Sans Serif"/>
        <family val="2"/>
      </rPr>
      <t>&lt;</t>
    </r>
    <r>
      <rPr>
        <b/>
        <sz val="10"/>
        <color indexed="16"/>
        <rFont val="Arial"/>
        <family val="2"/>
      </rPr>
      <t xml:space="preserve"> Demand</t>
    </r>
  </si>
  <si>
    <r>
      <t xml:space="preserve"> </t>
    </r>
    <r>
      <rPr>
        <b/>
        <sz val="10"/>
        <color indexed="16"/>
        <rFont val="MS Sans Serif"/>
        <family val="2"/>
      </rPr>
      <t>&lt;</t>
    </r>
    <r>
      <rPr>
        <b/>
        <sz val="10"/>
        <color indexed="16"/>
        <rFont val="Arial"/>
        <family val="2"/>
      </rPr>
      <t xml:space="preserve"> Factors</t>
    </r>
  </si>
  <si>
    <r>
      <t xml:space="preserve">    imports ( </t>
    </r>
    <r>
      <rPr>
        <b/>
        <sz val="12"/>
        <color indexed="16"/>
        <rFont val="Symbol"/>
        <family val="1"/>
      </rPr>
      <t>-</t>
    </r>
    <r>
      <rPr>
        <b/>
        <sz val="10"/>
        <color indexed="16"/>
        <rFont val="Arial"/>
        <family val="2"/>
      </rPr>
      <t xml:space="preserve"> )</t>
    </r>
  </si>
  <si>
    <r>
      <t xml:space="preserve"> </t>
    </r>
    <r>
      <rPr>
        <b/>
        <sz val="10"/>
        <color indexed="16"/>
        <rFont val="MS Sans Serif"/>
        <family val="2"/>
      </rPr>
      <t>&lt;</t>
    </r>
    <r>
      <rPr>
        <b/>
        <sz val="10"/>
        <color indexed="16"/>
        <rFont val="Arial"/>
        <family val="2"/>
      </rPr>
      <t xml:space="preserve"> eXports  ( </t>
    </r>
    <r>
      <rPr>
        <b/>
        <sz val="12"/>
        <color indexed="16"/>
        <rFont val="Symbol"/>
        <family val="1"/>
      </rPr>
      <t>+</t>
    </r>
    <r>
      <rPr>
        <b/>
        <sz val="10"/>
        <color indexed="16"/>
        <rFont val="Arial"/>
        <family val="2"/>
      </rPr>
      <t xml:space="preserve"> )</t>
    </r>
  </si>
  <si>
    <r>
      <t xml:space="preserve"> </t>
    </r>
    <r>
      <rPr>
        <b/>
        <sz val="10"/>
        <color indexed="12"/>
        <rFont val="MS Sans Serif"/>
        <family val="2"/>
      </rPr>
      <t>&lt;</t>
    </r>
    <r>
      <rPr>
        <b/>
        <sz val="10"/>
        <color indexed="12"/>
        <rFont val="Arial"/>
        <family val="2"/>
      </rPr>
      <t xml:space="preserve"> Output  ( </t>
    </r>
    <r>
      <rPr>
        <b/>
        <sz val="12"/>
        <color indexed="12"/>
        <rFont val="Symbol"/>
        <family val="1"/>
      </rPr>
      <t>-</t>
    </r>
    <r>
      <rPr>
        <b/>
        <sz val="10"/>
        <color indexed="12"/>
        <rFont val="Arial"/>
        <family val="2"/>
      </rPr>
      <t xml:space="preserve"> )</t>
    </r>
  </si>
  <si>
    <r>
      <t xml:space="preserve">of Utility </t>
    </r>
    <r>
      <rPr>
        <b/>
        <sz val="10"/>
        <color indexed="16"/>
        <rFont val="MS Sans Serif"/>
        <family val="2"/>
      </rPr>
      <t xml:space="preserve">&gt; </t>
    </r>
  </si>
  <si>
    <r>
      <t xml:space="preserve">Minus Sales </t>
    </r>
    <r>
      <rPr>
        <b/>
        <sz val="10"/>
        <color indexed="17"/>
        <rFont val="MS Sans Serif"/>
        <family val="2"/>
      </rPr>
      <t>&gt;</t>
    </r>
  </si>
  <si>
    <r>
      <t xml:space="preserve">Q = </t>
    </r>
    <r>
      <rPr>
        <b/>
        <sz val="10"/>
        <color indexed="58"/>
        <rFont val="Arial"/>
        <family val="2"/>
      </rPr>
      <t>E</t>
    </r>
    <r>
      <rPr>
        <b/>
        <vertAlign val="subscript"/>
        <sz val="10"/>
        <color indexed="58"/>
        <rFont val="Arial"/>
        <family val="2"/>
      </rPr>
      <t>0</t>
    </r>
    <r>
      <rPr>
        <b/>
        <sz val="10"/>
        <color indexed="58"/>
        <rFont val="Arial"/>
        <family val="2"/>
      </rPr>
      <t>/W</t>
    </r>
    <r>
      <rPr>
        <b/>
        <vertAlign val="subscript"/>
        <sz val="10"/>
        <color indexed="58"/>
        <rFont val="Arial"/>
        <family val="2"/>
      </rPr>
      <t>0</t>
    </r>
  </si>
  <si>
    <r>
      <t xml:space="preserve">- </t>
    </r>
    <r>
      <rPr>
        <b/>
        <sz val="10"/>
        <color indexed="17"/>
        <rFont val="Arial"/>
        <family val="2"/>
      </rPr>
      <t xml:space="preserve">PU        </t>
    </r>
  </si>
  <si>
    <t xml:space="preserve">    E    </t>
  </si>
  <si>
    <t xml:space="preserve">    U + E </t>
  </si>
  <si>
    <t>&gt;</t>
  </si>
  <si>
    <t>U + E</t>
  </si>
  <si>
    <t xml:space="preserve">       1       </t>
  </si>
  <si>
    <r>
      <t>(1</t>
    </r>
    <r>
      <rPr>
        <b/>
        <sz val="12"/>
        <color indexed="16"/>
        <rFont val="Symbol"/>
        <family val="1"/>
      </rPr>
      <t>-</t>
    </r>
    <r>
      <rPr>
        <b/>
        <sz val="10"/>
        <color indexed="16"/>
        <rFont val="Arial"/>
        <family val="2"/>
      </rPr>
      <t>1/</t>
    </r>
    <r>
      <rPr>
        <b/>
        <sz val="8"/>
        <color indexed="16"/>
        <rFont val="Arial"/>
        <family val="2"/>
      </rPr>
      <t>NPV</t>
    </r>
    <r>
      <rPr>
        <b/>
        <sz val="10"/>
        <color indexed="16"/>
        <rFont val="Arial"/>
        <family val="2"/>
      </rPr>
      <t xml:space="preserve">)/T  </t>
    </r>
  </si>
  <si>
    <r>
      <t>1</t>
    </r>
    <r>
      <rPr>
        <b/>
        <sz val="12"/>
        <color indexed="16"/>
        <rFont val="Symbol"/>
        <family val="1"/>
      </rPr>
      <t>+n</t>
    </r>
    <r>
      <rPr>
        <b/>
        <sz val="10"/>
        <color indexed="16"/>
        <rFont val="Arial"/>
        <family val="2"/>
      </rPr>
      <t>T</t>
    </r>
    <r>
      <rPr>
        <b/>
        <sz val="12"/>
        <color indexed="16"/>
        <rFont val="Symbol"/>
        <family val="1"/>
      </rPr>
      <t xml:space="preserve">k/g </t>
    </r>
  </si>
  <si>
    <r>
      <t xml:space="preserve">  </t>
    </r>
    <r>
      <rPr>
        <b/>
        <u val="single"/>
        <sz val="10"/>
        <color indexed="16"/>
        <rFont val="Arial"/>
        <family val="2"/>
      </rPr>
      <t xml:space="preserve">     1      </t>
    </r>
  </si>
  <si>
    <t xml:space="preserve">Investment Term    </t>
  </si>
  <si>
    <r>
      <t xml:space="preserve">Marginal Costs of Production </t>
    </r>
    <r>
      <rPr>
        <b/>
        <sz val="10"/>
        <color indexed="12"/>
        <rFont val="MS Sans Serif"/>
        <family val="2"/>
      </rPr>
      <t>&gt;</t>
    </r>
  </si>
  <si>
    <r>
      <t xml:space="preserve"> </t>
    </r>
    <r>
      <rPr>
        <b/>
        <sz val="10"/>
        <color indexed="12"/>
        <rFont val="MS Sans Serif"/>
        <family val="2"/>
      </rPr>
      <t>&lt;</t>
    </r>
    <r>
      <rPr>
        <b/>
        <sz val="10"/>
        <color indexed="12"/>
        <rFont val="Arial"/>
        <family val="2"/>
      </rPr>
      <t xml:space="preserve"> Output</t>
    </r>
  </si>
  <si>
    <r>
      <t>(</t>
    </r>
    <r>
      <rPr>
        <b/>
        <sz val="12"/>
        <color indexed="12"/>
        <rFont val="Symbol"/>
        <family val="1"/>
      </rPr>
      <t>t+</t>
    </r>
    <r>
      <rPr>
        <b/>
        <sz val="10"/>
        <color indexed="12"/>
        <rFont val="Arial"/>
        <family val="2"/>
      </rPr>
      <t>Y)</t>
    </r>
    <r>
      <rPr>
        <b/>
        <sz val="10"/>
        <color indexed="12"/>
        <rFont val="Arial"/>
        <family val="2"/>
      </rPr>
      <t>/</t>
    </r>
    <r>
      <rPr>
        <b/>
        <sz val="12"/>
        <color indexed="12"/>
        <rFont val="Symbol"/>
        <family val="1"/>
      </rPr>
      <t>l</t>
    </r>
  </si>
  <si>
    <t xml:space="preserve">   </t>
  </si>
  <si>
    <t>T</t>
  </si>
  <si>
    <t>(u + e)/h</t>
  </si>
  <si>
    <r>
      <t>&lt;</t>
    </r>
    <r>
      <rPr>
        <b/>
        <sz val="10"/>
        <color indexed="16"/>
        <rFont val="Arial"/>
        <family val="2"/>
      </rPr>
      <t xml:space="preserve"> Assets' Valuation</t>
    </r>
  </si>
  <si>
    <r>
      <t xml:space="preserve">(1 </t>
    </r>
    <r>
      <rPr>
        <b/>
        <sz val="12"/>
        <color indexed="16"/>
        <rFont val="Symbol"/>
        <family val="1"/>
      </rPr>
      <t>- n</t>
    </r>
    <r>
      <rPr>
        <b/>
        <sz val="10"/>
        <color indexed="16"/>
        <rFont val="Arial"/>
        <family val="2"/>
      </rPr>
      <t>)</t>
    </r>
    <r>
      <rPr>
        <b/>
        <vertAlign val="superscript"/>
        <sz val="12"/>
        <color indexed="16"/>
        <rFont val="Arial"/>
        <family val="2"/>
      </rPr>
      <t>T</t>
    </r>
  </si>
  <si>
    <r>
      <t>Y</t>
    </r>
    <r>
      <rPr>
        <b/>
        <sz val="12"/>
        <color indexed="12"/>
        <rFont val="Symbol"/>
        <family val="1"/>
      </rPr>
      <t>t</t>
    </r>
  </si>
  <si>
    <r>
      <t xml:space="preserve">  &lt;</t>
    </r>
    <r>
      <rPr>
        <b/>
        <sz val="10"/>
        <color indexed="16"/>
        <rFont val="Arial"/>
        <family val="2"/>
      </rPr>
      <t xml:space="preserve"> Production</t>
    </r>
  </si>
  <si>
    <r>
      <t xml:space="preserve"> </t>
    </r>
    <r>
      <rPr>
        <b/>
        <sz val="10"/>
        <color indexed="16"/>
        <rFont val="MS Sans Serif"/>
        <family val="2"/>
      </rPr>
      <t>&lt;</t>
    </r>
  </si>
  <si>
    <r>
      <t>Y</t>
    </r>
    <r>
      <rPr>
        <b/>
        <vertAlign val="subscript"/>
        <sz val="10"/>
        <color indexed="16"/>
        <rFont val="Arial"/>
        <family val="2"/>
      </rPr>
      <t>L</t>
    </r>
    <r>
      <rPr>
        <b/>
        <sz val="10"/>
        <color indexed="16"/>
        <rFont val="Arial"/>
        <family val="2"/>
      </rPr>
      <t xml:space="preserve"> </t>
    </r>
    <r>
      <rPr>
        <b/>
        <sz val="12"/>
        <color indexed="16"/>
        <rFont val="Symbol"/>
        <family val="1"/>
      </rPr>
      <t xml:space="preserve">= - </t>
    </r>
    <r>
      <rPr>
        <b/>
        <sz val="10"/>
        <color indexed="16"/>
        <rFont val="Arial"/>
        <family val="2"/>
      </rPr>
      <t>Leisure</t>
    </r>
  </si>
  <si>
    <r>
      <t>i</t>
    </r>
    <r>
      <rPr>
        <b/>
        <sz val="10"/>
        <color indexed="16"/>
        <rFont val="Arial"/>
        <family val="2"/>
      </rPr>
      <t xml:space="preserve">    H</t>
    </r>
    <r>
      <rPr>
        <b/>
        <sz val="12"/>
        <color indexed="16"/>
        <rFont val="Symbol"/>
        <family val="1"/>
      </rPr>
      <t>b/m</t>
    </r>
  </si>
  <si>
    <r>
      <t xml:space="preserve">Prices </t>
    </r>
    <r>
      <rPr>
        <b/>
        <sz val="10"/>
        <color indexed="16"/>
        <rFont val="MS Sans Serif"/>
        <family val="2"/>
      </rPr>
      <t xml:space="preserve">&gt; </t>
    </r>
  </si>
  <si>
    <r>
      <t>$/</t>
    </r>
    <r>
      <rPr>
        <b/>
        <sz val="10"/>
        <rFont val="Arial"/>
        <family val="2"/>
      </rPr>
      <t xml:space="preserve">unit </t>
    </r>
  </si>
  <si>
    <t>Monetary</t>
  </si>
  <si>
    <r>
      <t xml:space="preserve">Stocks </t>
    </r>
    <r>
      <rPr>
        <b/>
        <sz val="10"/>
        <color indexed="17"/>
        <rFont val="MS Sans Serif"/>
        <family val="2"/>
      </rPr>
      <t>&gt;</t>
    </r>
  </si>
  <si>
    <t xml:space="preserve">    Stocks</t>
  </si>
  <si>
    <r>
      <t xml:space="preserve"> Interest Rate </t>
    </r>
    <r>
      <rPr>
        <b/>
        <sz val="10"/>
        <color indexed="16"/>
        <rFont val="MS Sans Serif"/>
        <family val="2"/>
      </rPr>
      <t xml:space="preserve">&gt;  </t>
    </r>
  </si>
  <si>
    <r>
      <t xml:space="preserve">Investment Term </t>
    </r>
    <r>
      <rPr>
        <b/>
        <sz val="10"/>
        <color indexed="16"/>
        <rFont val="MS Sans Serif"/>
        <family val="2"/>
      </rPr>
      <t xml:space="preserve">&gt;  </t>
    </r>
  </si>
  <si>
    <r>
      <t>&lt;</t>
    </r>
    <r>
      <rPr>
        <b/>
        <sz val="10"/>
        <color indexed="16"/>
        <rFont val="Arial"/>
        <family val="2"/>
      </rPr>
      <t xml:space="preserve"> V</t>
    </r>
  </si>
  <si>
    <r>
      <t>&lt;</t>
    </r>
    <r>
      <rPr>
        <b/>
        <sz val="10"/>
        <color indexed="16"/>
        <rFont val="Arial"/>
        <family val="2"/>
      </rPr>
      <t xml:space="preserve"> Markets</t>
    </r>
  </si>
  <si>
    <r>
      <t>&lt;</t>
    </r>
    <r>
      <rPr>
        <b/>
        <sz val="10"/>
        <color indexed="16"/>
        <rFont val="Arial"/>
        <family val="2"/>
      </rPr>
      <t xml:space="preserve"> Physical</t>
    </r>
  </si>
  <si>
    <r>
      <t>&lt;</t>
    </r>
    <r>
      <rPr>
        <b/>
        <sz val="12"/>
        <color indexed="58"/>
        <rFont val="Symbol"/>
        <family val="1"/>
      </rPr>
      <t xml:space="preserve"> Y</t>
    </r>
    <r>
      <rPr>
        <b/>
        <sz val="10"/>
        <color indexed="58"/>
        <rFont val="Arial"/>
        <family val="2"/>
      </rPr>
      <t xml:space="preserve">Y   </t>
    </r>
  </si>
  <si>
    <t>z = pl</t>
  </si>
  <si>
    <r>
      <t>∂Z</t>
    </r>
    <r>
      <rPr>
        <b/>
        <vertAlign val="subscript"/>
        <sz val="10"/>
        <color indexed="16"/>
        <rFont val="Arial"/>
        <family val="2"/>
      </rPr>
      <t>L</t>
    </r>
    <r>
      <rPr>
        <b/>
        <sz val="10"/>
        <color indexed="16"/>
        <rFont val="Arial"/>
        <family val="2"/>
      </rPr>
      <t>/∂t</t>
    </r>
  </si>
  <si>
    <r>
      <t>Y</t>
    </r>
    <r>
      <rPr>
        <b/>
        <vertAlign val="subscript"/>
        <sz val="10"/>
        <color indexed="16"/>
        <rFont val="Arial"/>
        <family val="2"/>
      </rPr>
      <t>N</t>
    </r>
    <r>
      <rPr>
        <b/>
        <sz val="10"/>
        <color indexed="16"/>
        <rFont val="Arial"/>
        <family val="2"/>
      </rPr>
      <t xml:space="preserve"> </t>
    </r>
    <r>
      <rPr>
        <b/>
        <sz val="12"/>
        <color indexed="16"/>
        <rFont val="Symbol"/>
        <family val="1"/>
      </rPr>
      <t xml:space="preserve">= - </t>
    </r>
    <r>
      <rPr>
        <b/>
        <sz val="10"/>
        <color indexed="16"/>
        <rFont val="Arial"/>
        <family val="2"/>
      </rPr>
      <t>Leisure</t>
    </r>
  </si>
  <si>
    <r>
      <t>1/(N</t>
    </r>
    <r>
      <rPr>
        <b/>
        <sz val="8"/>
        <color indexed="55"/>
        <rFont val="Symbol"/>
        <family val="1"/>
      </rPr>
      <t>+</t>
    </r>
    <r>
      <rPr>
        <b/>
        <sz val="8"/>
        <color indexed="55"/>
        <rFont val="Arial"/>
        <family val="2"/>
      </rPr>
      <t>1)</t>
    </r>
  </si>
  <si>
    <r>
      <t>(</t>
    </r>
    <r>
      <rPr>
        <b/>
        <sz val="12"/>
        <color indexed="55"/>
        <rFont val="Symbol"/>
        <family val="1"/>
      </rPr>
      <t>p</t>
    </r>
    <r>
      <rPr>
        <b/>
        <sz val="10"/>
        <color indexed="55"/>
        <rFont val="Arial"/>
        <family val="2"/>
      </rPr>
      <t>ZPU)</t>
    </r>
  </si>
  <si>
    <r>
      <t>(</t>
    </r>
    <r>
      <rPr>
        <b/>
        <sz val="10"/>
        <color indexed="55"/>
        <rFont val="Arial"/>
        <family val="2"/>
      </rPr>
      <t xml:space="preserve">PU + </t>
    </r>
    <r>
      <rPr>
        <b/>
        <sz val="12"/>
        <color indexed="55"/>
        <rFont val="Symbol"/>
        <family val="1"/>
      </rPr>
      <t>s)/</t>
    </r>
    <r>
      <rPr>
        <b/>
        <sz val="10"/>
        <color indexed="55"/>
        <rFont val="Arial"/>
        <family val="2"/>
      </rPr>
      <t>N</t>
    </r>
  </si>
  <si>
    <r>
      <t xml:space="preserve">q = </t>
    </r>
    <r>
      <rPr>
        <b/>
        <sz val="10"/>
        <color indexed="55"/>
        <rFont val="Arial"/>
        <family val="2"/>
      </rPr>
      <t>P</t>
    </r>
    <r>
      <rPr>
        <b/>
        <vertAlign val="subscript"/>
        <sz val="10"/>
        <color indexed="55"/>
        <rFont val="Arial"/>
        <family val="2"/>
      </rPr>
      <t>0</t>
    </r>
    <r>
      <rPr>
        <b/>
        <sz val="10"/>
        <color indexed="55"/>
        <rFont val="Arial"/>
        <family val="2"/>
      </rPr>
      <t>*</t>
    </r>
    <r>
      <rPr>
        <b/>
        <sz val="12"/>
        <color indexed="55"/>
        <rFont val="Symbol"/>
        <family val="1"/>
      </rPr>
      <t>Q</t>
    </r>
  </si>
  <si>
    <t>e -</t>
  </si>
  <si>
    <t>e +</t>
  </si>
  <si>
    <r>
      <t>&lt;</t>
    </r>
    <r>
      <rPr>
        <b/>
        <sz val="10"/>
        <color indexed="16"/>
        <rFont val="Arial"/>
        <family val="2"/>
      </rPr>
      <t xml:space="preserve"> Temporal Parameters, i.e.: Turnover Fractions </t>
    </r>
    <r>
      <rPr>
        <b/>
        <sz val="10"/>
        <color indexed="16"/>
        <rFont val="MS Sans Serif"/>
        <family val="2"/>
      </rPr>
      <t>&gt;</t>
    </r>
  </si>
  <si>
    <t>-f</t>
  </si>
  <si>
    <t xml:space="preserve">Financial   </t>
  </si>
  <si>
    <r>
      <t xml:space="preserve">Intermediation </t>
    </r>
    <r>
      <rPr>
        <b/>
        <sz val="10"/>
        <color indexed="17"/>
        <rFont val="MS Sans Serif"/>
        <family val="2"/>
      </rPr>
      <t>&gt;</t>
    </r>
  </si>
  <si>
    <t>NCF</t>
  </si>
  <si>
    <t xml:space="preserve">     u      </t>
  </si>
  <si>
    <r>
      <t>(</t>
    </r>
    <r>
      <rPr>
        <b/>
        <sz val="12"/>
        <color indexed="17"/>
        <rFont val="Symbol"/>
        <family val="1"/>
      </rPr>
      <t>h/w-</t>
    </r>
    <r>
      <rPr>
        <b/>
        <sz val="10"/>
        <color indexed="17"/>
        <rFont val="Arial"/>
        <family val="2"/>
      </rPr>
      <t>1)</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</si>
</sst>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00_)"/>
    <numFmt numFmtId="167" formatCode="0.00_)"/>
    <numFmt numFmtId="168" formatCode="0.0"/>
    <numFmt numFmtId="169" formatCode="0.0000_);\(0.0000\)"/>
    <numFmt numFmtId="170" formatCode="0.000_);\(0.000\)"/>
    <numFmt numFmtId="171" formatCode="0.0%"/>
    <numFmt numFmtId="172" formatCode="0.0_)"/>
    <numFmt numFmtId="173" formatCode="0.0000"/>
    <numFmt numFmtId="174" formatCode="0.000"/>
    <numFmt numFmtId="175" formatCode="0.000_)"/>
  </numFmts>
  <fonts count="92">
    <font>
      <sz val="10"/>
      <name val="Courier New"/>
      <family val="3"/>
    </font>
    <font>
      <sz val="10"/>
      <name val="Arial"/>
      <family val="0"/>
    </font>
    <font>
      <b/>
      <sz val="12"/>
      <name val="Arial"/>
      <family val="2"/>
    </font>
    <font>
      <b/>
      <sz val="10"/>
      <color indexed="58"/>
      <name val="Arial"/>
      <family val="2"/>
    </font>
    <font>
      <b/>
      <sz val="10"/>
      <name val="Arial"/>
      <family val="2"/>
    </font>
    <font>
      <b/>
      <sz val="10"/>
      <color indexed="10"/>
      <name val="Arial"/>
      <family val="2"/>
    </font>
    <font>
      <b/>
      <sz val="10"/>
      <color indexed="16"/>
      <name val="Arial"/>
      <family val="2"/>
    </font>
    <font>
      <b/>
      <sz val="10"/>
      <color indexed="16"/>
      <name val="MS Sans Serif"/>
      <family val="2"/>
    </font>
    <font>
      <sz val="10"/>
      <color indexed="12"/>
      <name val="MS Sans Serif"/>
      <family val="2"/>
    </font>
    <font>
      <b/>
      <sz val="12"/>
      <color indexed="17"/>
      <name val="Symbol"/>
      <family val="1"/>
    </font>
    <font>
      <b/>
      <sz val="12"/>
      <color indexed="16"/>
      <name val="Symbol"/>
      <family val="1"/>
    </font>
    <font>
      <b/>
      <sz val="12"/>
      <color indexed="58"/>
      <name val="Symbol"/>
      <family val="1"/>
    </font>
    <font>
      <b/>
      <sz val="10"/>
      <color indexed="58"/>
      <name val="MS Sans Serif"/>
      <family val="2"/>
    </font>
    <font>
      <b/>
      <vertAlign val="subscript"/>
      <sz val="10"/>
      <color indexed="16"/>
      <name val="Arial"/>
      <family val="2"/>
    </font>
    <font>
      <b/>
      <sz val="10"/>
      <color indexed="17"/>
      <name val="Arial"/>
      <family val="2"/>
    </font>
    <font>
      <b/>
      <sz val="10"/>
      <color indexed="58"/>
      <name val="Symbol"/>
      <family val="1"/>
    </font>
    <font>
      <sz val="10"/>
      <color indexed="22"/>
      <name val="Arial"/>
      <family val="2"/>
    </font>
    <font>
      <b/>
      <sz val="10"/>
      <color indexed="12"/>
      <name val="Arial"/>
      <family val="2"/>
    </font>
    <font>
      <b/>
      <sz val="12"/>
      <color indexed="12"/>
      <name val="Symbol"/>
      <family val="1"/>
    </font>
    <font>
      <b/>
      <sz val="10"/>
      <color indexed="16"/>
      <name val="Symbol"/>
      <family val="1"/>
    </font>
    <font>
      <b/>
      <sz val="10"/>
      <color indexed="17"/>
      <name val="Symbol"/>
      <family val="1"/>
    </font>
    <font>
      <b/>
      <sz val="10"/>
      <color indexed="17"/>
      <name val="MS Sans Serif"/>
      <family val="2"/>
    </font>
    <font>
      <b/>
      <vertAlign val="subscript"/>
      <sz val="12"/>
      <color indexed="16"/>
      <name val="Symbol"/>
      <family val="1"/>
    </font>
    <font>
      <b/>
      <sz val="12"/>
      <color indexed="16"/>
      <name val="Arial"/>
      <family val="2"/>
    </font>
    <font>
      <b/>
      <sz val="10"/>
      <name val="MS Sans Serif"/>
      <family val="2"/>
    </font>
    <font>
      <b/>
      <sz val="12"/>
      <name val="Arial Narrow"/>
      <family val="2"/>
    </font>
    <font>
      <b/>
      <sz val="8"/>
      <color indexed="8"/>
      <name val="Arial"/>
      <family val="2"/>
    </font>
    <font>
      <sz val="8"/>
      <color indexed="8"/>
      <name val="Arial"/>
      <family val="2"/>
    </font>
    <font>
      <b/>
      <sz val="8"/>
      <color indexed="16"/>
      <name val="Arial"/>
      <family val="2"/>
    </font>
    <font>
      <b/>
      <sz val="10"/>
      <name val="Courier New"/>
      <family val="3"/>
    </font>
    <font>
      <b/>
      <sz val="12"/>
      <name val="Courier New"/>
      <family val="3"/>
    </font>
    <font>
      <b/>
      <vertAlign val="subscript"/>
      <sz val="12"/>
      <name val="Symbol"/>
      <family val="1"/>
    </font>
    <font>
      <b/>
      <sz val="14"/>
      <name val="Symbol"/>
      <family val="1"/>
    </font>
    <font>
      <b/>
      <vertAlign val="subscript"/>
      <sz val="10"/>
      <name val="Courier New"/>
      <family val="3"/>
    </font>
    <font>
      <b/>
      <sz val="10"/>
      <name val="Symbol"/>
      <family val="0"/>
    </font>
    <font>
      <vertAlign val="subscript"/>
      <sz val="10"/>
      <name val="Symbol"/>
      <family val="1"/>
    </font>
    <font>
      <vertAlign val="subscript"/>
      <sz val="10"/>
      <name val="Arial"/>
      <family val="2"/>
    </font>
    <font>
      <b/>
      <sz val="10"/>
      <name val="MS Serif"/>
      <family val="1"/>
    </font>
    <font>
      <b/>
      <sz val="10"/>
      <color indexed="8"/>
      <name val="Arial"/>
      <family val="2"/>
    </font>
    <font>
      <u val="single"/>
      <sz val="10"/>
      <color indexed="12"/>
      <name val="Courier New"/>
      <family val="3"/>
    </font>
    <font>
      <u val="single"/>
      <sz val="10"/>
      <color indexed="36"/>
      <name val="Courier New"/>
      <family val="3"/>
    </font>
    <font>
      <b/>
      <vertAlign val="subscript"/>
      <sz val="10"/>
      <color indexed="58"/>
      <name val="Arial"/>
      <family val="2"/>
    </font>
    <font>
      <b/>
      <sz val="10"/>
      <color indexed="12"/>
      <name val="MS Sans Serif"/>
      <family val="2"/>
    </font>
    <font>
      <sz val="10"/>
      <name val="Courier"/>
      <family val="0"/>
    </font>
    <font>
      <b/>
      <sz val="10"/>
      <color indexed="22"/>
      <name val="Arial"/>
      <family val="2"/>
    </font>
    <font>
      <b/>
      <u val="single"/>
      <sz val="10"/>
      <color indexed="1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b/>
      <vertAlign val="subscript"/>
      <sz val="10"/>
      <color indexed="59"/>
      <name val="Arial"/>
      <family val="2"/>
    </font>
    <font>
      <b/>
      <sz val="12"/>
      <color indexed="22"/>
      <name val="Symbol"/>
      <family val="1"/>
    </font>
    <font>
      <b/>
      <strike/>
      <sz val="10"/>
      <color indexed="58"/>
      <name val="Arial"/>
      <family val="2"/>
    </font>
    <font>
      <b/>
      <sz val="12"/>
      <name val="Symbol"/>
      <family val="1"/>
    </font>
    <font>
      <u val="double"/>
      <sz val="10"/>
      <name val="Courier"/>
      <family val="3"/>
    </font>
    <font>
      <b/>
      <sz val="12"/>
      <color indexed="10"/>
      <name val="Arial"/>
      <family val="2"/>
    </font>
    <font>
      <b/>
      <sz val="8"/>
      <color indexed="16"/>
      <name val="Symbol"/>
      <family val="1"/>
    </font>
    <font>
      <sz val="10"/>
      <color indexed="12"/>
      <name val="Courier New"/>
      <family val="3"/>
    </font>
    <font>
      <u val="single"/>
      <sz val="10"/>
      <color indexed="17"/>
      <name val="Courier"/>
      <family val="3"/>
    </font>
    <font>
      <b/>
      <sz val="12"/>
      <color indexed="59"/>
      <name val="Symbol"/>
      <family val="1"/>
    </font>
    <font>
      <b/>
      <sz val="10"/>
      <color indexed="59"/>
      <name val="Arial"/>
      <family val="2"/>
    </font>
    <font>
      <b/>
      <vertAlign val="superscript"/>
      <sz val="12"/>
      <color indexed="16"/>
      <name val="Arial"/>
      <family val="2"/>
    </font>
    <font>
      <sz val="10"/>
      <color indexed="9"/>
      <name val="Arial"/>
      <family val="2"/>
    </font>
    <font>
      <b/>
      <sz val="8"/>
      <name val="Arial"/>
      <family val="2"/>
    </font>
    <font>
      <sz val="10"/>
      <color indexed="22"/>
      <name val="Courier New"/>
      <family val="3"/>
    </font>
    <font>
      <b/>
      <sz val="10"/>
      <color indexed="63"/>
      <name val="Arial"/>
      <family val="2"/>
    </font>
    <font>
      <sz val="10"/>
      <color indexed="55"/>
      <name val="Arial"/>
      <family val="2"/>
    </font>
    <font>
      <sz val="10"/>
      <color indexed="55"/>
      <name val="MS Sans Serif"/>
      <family val="2"/>
    </font>
    <font>
      <u val="double"/>
      <sz val="10"/>
      <color indexed="55"/>
      <name val="Courier"/>
      <family val="3"/>
    </font>
    <font>
      <b/>
      <sz val="8"/>
      <color indexed="55"/>
      <name val="Arial"/>
      <family val="2"/>
    </font>
    <font>
      <b/>
      <sz val="8"/>
      <color indexed="55"/>
      <name val="Symbol"/>
      <family val="1"/>
    </font>
    <font>
      <b/>
      <sz val="10"/>
      <color indexed="55"/>
      <name val="Arial"/>
      <family val="2"/>
    </font>
    <font>
      <b/>
      <sz val="12"/>
      <color indexed="55"/>
      <name val="Symbol"/>
      <family val="1"/>
    </font>
    <font>
      <sz val="10"/>
      <color indexed="55"/>
      <name val="Courier New"/>
      <family val="3"/>
    </font>
    <font>
      <u val="single"/>
      <sz val="10"/>
      <color indexed="55"/>
      <name val="Courier"/>
      <family val="3"/>
    </font>
    <font>
      <b/>
      <vertAlign val="subscript"/>
      <sz val="10"/>
      <color indexed="55"/>
      <name val="Arial"/>
      <family val="2"/>
    </font>
    <font>
      <sz val="10"/>
      <color indexed="17"/>
      <name val="Courier New"/>
      <family val="3"/>
    </font>
    <font>
      <b/>
      <sz val="8"/>
      <color indexed="17"/>
      <name val="Arial"/>
      <family val="2"/>
    </font>
    <font>
      <b/>
      <u val="single"/>
      <sz val="12"/>
      <color indexed="17"/>
      <name val="Symbol"/>
      <family val="1"/>
    </font>
  </fonts>
  <fills count="3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15"/>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15"/>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color indexed="8"/>
      </left>
      <right>
        <color indexed="63"/>
      </right>
      <top>
        <color indexed="63"/>
      </top>
      <bottom style="medium"/>
    </border>
    <border>
      <left style="thin"/>
      <right style="thin">
        <color indexed="8"/>
      </right>
      <top style="thin">
        <color indexed="8"/>
      </top>
      <bottom style="medium">
        <color indexed="8"/>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color indexed="8"/>
      </left>
      <right style="thin">
        <color indexed="8"/>
      </right>
      <top style="thin">
        <color indexed="8"/>
      </top>
      <bottom style="medium"/>
    </border>
    <border>
      <left style="thin"/>
      <right style="thin"/>
      <top style="thin"/>
      <bottom style="mediu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top style="thin"/>
      <bottom style="thin"/>
    </border>
    <border>
      <left style="thin">
        <color indexed="8"/>
      </left>
      <right style="thin">
        <color indexed="8"/>
      </right>
      <top style="thin">
        <color indexed="8"/>
      </top>
      <bottom style="thin"/>
    </border>
    <border>
      <left style="thin"/>
      <right>
        <color indexed="63"/>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s>
  <cellStyleXfs count="7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3"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7" fillId="10" borderId="0" applyNumberFormat="0" applyBorder="0" applyAlignment="0" applyProtection="0"/>
    <xf numFmtId="0" fontId="47" fillId="3"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8" fillId="16" borderId="0" applyNumberFormat="0" applyBorder="0" applyAlignment="0" applyProtection="0"/>
    <xf numFmtId="0" fontId="49" fillId="17" borderId="1" applyNumberFormat="0" applyAlignment="0" applyProtection="0"/>
    <xf numFmtId="0" fontId="50" fillId="1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40" fillId="0" borderId="0" applyNumberFormat="0" applyFill="0" applyBorder="0" applyAlignment="0" applyProtection="0"/>
    <xf numFmtId="0" fontId="52" fillId="1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9" fillId="0" borderId="0" applyNumberFormat="0" applyFill="0" applyBorder="0" applyAlignment="0" applyProtection="0"/>
    <xf numFmtId="0" fontId="56" fillId="3" borderId="1" applyNumberFormat="0" applyAlignment="0" applyProtection="0"/>
    <xf numFmtId="0" fontId="57" fillId="0" borderId="6" applyNumberFormat="0" applyFill="0" applyAlignment="0" applyProtection="0"/>
    <xf numFmtId="0" fontId="58" fillId="8" borderId="0" applyNumberFormat="0" applyBorder="0" applyAlignment="0" applyProtection="0"/>
    <xf numFmtId="164" fontId="0" fillId="0" borderId="0">
      <alignment/>
      <protection/>
    </xf>
    <xf numFmtId="164" fontId="0" fillId="0" borderId="0">
      <alignment/>
      <protection/>
    </xf>
    <xf numFmtId="164" fontId="43" fillId="0" borderId="0">
      <alignment/>
      <protection/>
    </xf>
    <xf numFmtId="164" fontId="0" fillId="0" borderId="0">
      <alignment/>
      <protection/>
    </xf>
    <xf numFmtId="164" fontId="0" fillId="0" borderId="0">
      <alignment/>
      <protection/>
    </xf>
    <xf numFmtId="164" fontId="43" fillId="0" borderId="0">
      <alignment/>
      <protection/>
    </xf>
    <xf numFmtId="164" fontId="0" fillId="0" borderId="0">
      <alignment/>
      <protection/>
    </xf>
    <xf numFmtId="164" fontId="43" fillId="0" borderId="0">
      <alignment/>
      <protection/>
    </xf>
    <xf numFmtId="164" fontId="43" fillId="0" borderId="0">
      <alignment/>
      <protection/>
    </xf>
    <xf numFmtId="164" fontId="43" fillId="0" borderId="0">
      <alignment/>
      <protection/>
    </xf>
    <xf numFmtId="164" fontId="0" fillId="0" borderId="0">
      <alignment/>
      <protection/>
    </xf>
    <xf numFmtId="0" fontId="0" fillId="4" borderId="7" applyNumberFormat="0" applyFont="0" applyAlignment="0" applyProtection="0"/>
    <xf numFmtId="0" fontId="59" fillId="17" borderId="8" applyNumberFormat="0" applyAlignment="0" applyProtection="0"/>
    <xf numFmtId="9" fontId="1"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38">
    <xf numFmtId="164" fontId="0" fillId="0" borderId="0" xfId="0" applyAlignment="1">
      <alignment/>
    </xf>
    <xf numFmtId="164" fontId="0" fillId="20" borderId="0" xfId="0" applyFill="1" applyAlignment="1">
      <alignment/>
    </xf>
    <xf numFmtId="165" fontId="3" fillId="20" borderId="10" xfId="0" applyNumberFormat="1" applyFont="1" applyFill="1" applyBorder="1" applyAlignment="1" applyProtection="1">
      <alignment vertical="center"/>
      <protection/>
    </xf>
    <xf numFmtId="165" fontId="4" fillId="0" borderId="11" xfId="0" applyNumberFormat="1" applyFont="1" applyFill="1" applyBorder="1" applyAlignment="1" applyProtection="1">
      <alignment vertical="center"/>
      <protection/>
    </xf>
    <xf numFmtId="165" fontId="4" fillId="0" borderId="12" xfId="0" applyNumberFormat="1" applyFont="1" applyFill="1" applyBorder="1" applyAlignment="1" applyProtection="1">
      <alignment vertical="center"/>
      <protection/>
    </xf>
    <xf numFmtId="165" fontId="4" fillId="0" borderId="13" xfId="0" applyNumberFormat="1" applyFont="1" applyFill="1" applyBorder="1" applyAlignment="1" applyProtection="1">
      <alignment vertical="center"/>
      <protection/>
    </xf>
    <xf numFmtId="164" fontId="6" fillId="0" borderId="0" xfId="0" applyFont="1" applyFill="1" applyBorder="1" applyAlignment="1">
      <alignment horizontal="left" vertical="center"/>
    </xf>
    <xf numFmtId="165" fontId="3" fillId="0" borderId="11" xfId="0" applyNumberFormat="1" applyFont="1" applyFill="1" applyBorder="1" applyAlignment="1" applyProtection="1">
      <alignment vertical="center"/>
      <protection/>
    </xf>
    <xf numFmtId="165" fontId="3" fillId="0" borderId="12" xfId="0" applyNumberFormat="1" applyFont="1" applyFill="1" applyBorder="1" applyAlignment="1" applyProtection="1">
      <alignment vertical="center"/>
      <protection/>
    </xf>
    <xf numFmtId="165" fontId="3" fillId="0" borderId="13" xfId="0" applyNumberFormat="1" applyFont="1" applyFill="1" applyBorder="1" applyAlignment="1" applyProtection="1">
      <alignment vertical="center"/>
      <protection/>
    </xf>
    <xf numFmtId="164" fontId="8" fillId="0" borderId="0" xfId="0" applyFont="1" applyFill="1" applyBorder="1" applyAlignment="1">
      <alignment horizontal="center" vertical="center"/>
    </xf>
    <xf numFmtId="164" fontId="9" fillId="0" borderId="0" xfId="0" applyFont="1" applyFill="1" applyBorder="1" applyAlignment="1">
      <alignment horizontal="center" vertical="center"/>
    </xf>
    <xf numFmtId="164" fontId="6" fillId="0" borderId="0" xfId="0" applyFont="1" applyFill="1" applyBorder="1" applyAlignment="1">
      <alignment horizontal="right" vertical="center"/>
    </xf>
    <xf numFmtId="164" fontId="10" fillId="0" borderId="0" xfId="0" applyFont="1" applyFill="1" applyBorder="1" applyAlignment="1">
      <alignment horizontal="center"/>
    </xf>
    <xf numFmtId="165" fontId="3" fillId="20" borderId="14" xfId="0" applyNumberFormat="1" applyFont="1" applyFill="1" applyBorder="1" applyAlignment="1" applyProtection="1">
      <alignment vertical="center"/>
      <protection/>
    </xf>
    <xf numFmtId="165" fontId="4" fillId="21" borderId="15" xfId="0" applyNumberFormat="1" applyFont="1" applyFill="1" applyBorder="1" applyAlignment="1" applyProtection="1">
      <alignment vertical="center"/>
      <protection/>
    </xf>
    <xf numFmtId="165" fontId="4" fillId="21" borderId="16" xfId="0" applyNumberFormat="1" applyFont="1" applyFill="1" applyBorder="1" applyAlignment="1" applyProtection="1">
      <alignment vertical="center"/>
      <protection/>
    </xf>
    <xf numFmtId="165" fontId="4" fillId="21" borderId="17" xfId="0" applyNumberFormat="1" applyFont="1" applyFill="1" applyBorder="1" applyAlignment="1" applyProtection="1">
      <alignment vertical="center"/>
      <protection/>
    </xf>
    <xf numFmtId="165" fontId="4" fillId="20" borderId="15" xfId="0" applyNumberFormat="1" applyFont="1" applyFill="1" applyBorder="1" applyAlignment="1" applyProtection="1">
      <alignment vertical="center"/>
      <protection/>
    </xf>
    <xf numFmtId="165" fontId="4" fillId="20" borderId="17" xfId="0" applyNumberFormat="1" applyFont="1" applyFill="1" applyBorder="1" applyAlignment="1" applyProtection="1">
      <alignment vertical="center"/>
      <protection/>
    </xf>
    <xf numFmtId="165" fontId="4" fillId="20" borderId="15" xfId="0" applyNumberFormat="1" applyFont="1" applyFill="1" applyBorder="1" applyAlignment="1" applyProtection="1">
      <alignment horizontal="center" vertical="center"/>
      <protection/>
    </xf>
    <xf numFmtId="165" fontId="4" fillId="20" borderId="16" xfId="0" applyNumberFormat="1" applyFont="1" applyFill="1" applyBorder="1" applyAlignment="1" applyProtection="1">
      <alignment horizontal="center" vertical="center"/>
      <protection/>
    </xf>
    <xf numFmtId="165" fontId="4" fillId="20" borderId="17" xfId="0" applyNumberFormat="1" applyFont="1" applyFill="1" applyBorder="1" applyAlignment="1" applyProtection="1">
      <alignment horizontal="center" vertical="center"/>
      <protection/>
    </xf>
    <xf numFmtId="165" fontId="3" fillId="20" borderId="15" xfId="0" applyNumberFormat="1" applyFont="1" applyFill="1" applyBorder="1" applyAlignment="1" applyProtection="1">
      <alignment vertical="center"/>
      <protection/>
    </xf>
    <xf numFmtId="165" fontId="3" fillId="20" borderId="16" xfId="0" applyNumberFormat="1" applyFont="1" applyFill="1" applyBorder="1" applyAlignment="1" applyProtection="1">
      <alignment vertical="center"/>
      <protection/>
    </xf>
    <xf numFmtId="165" fontId="3" fillId="20" borderId="17" xfId="0" applyNumberFormat="1" applyFont="1" applyFill="1" applyBorder="1" applyAlignment="1" applyProtection="1">
      <alignment vertical="center"/>
      <protection/>
    </xf>
    <xf numFmtId="165" fontId="4" fillId="22" borderId="18" xfId="0" applyNumberFormat="1" applyFont="1" applyFill="1" applyBorder="1" applyAlignment="1" applyProtection="1">
      <alignment vertical="center"/>
      <protection/>
    </xf>
    <xf numFmtId="165" fontId="4" fillId="22" borderId="19" xfId="0" applyNumberFormat="1" applyFont="1" applyFill="1" applyBorder="1" applyAlignment="1" applyProtection="1">
      <alignment vertical="center"/>
      <protection/>
    </xf>
    <xf numFmtId="165" fontId="4" fillId="22" borderId="0" xfId="0" applyNumberFormat="1" applyFont="1" applyFill="1" applyBorder="1" applyAlignment="1" applyProtection="1">
      <alignment vertical="center"/>
      <protection/>
    </xf>
    <xf numFmtId="165" fontId="4" fillId="0" borderId="18" xfId="0" applyNumberFormat="1" applyFont="1" applyFill="1" applyBorder="1" applyAlignment="1" applyProtection="1">
      <alignment horizontal="center" vertical="center"/>
      <protection/>
    </xf>
    <xf numFmtId="165" fontId="4" fillId="0" borderId="19" xfId="0" applyNumberFormat="1" applyFont="1" applyFill="1" applyBorder="1" applyAlignment="1" applyProtection="1">
      <alignment horizontal="center" vertical="center"/>
      <protection/>
    </xf>
    <xf numFmtId="165" fontId="4" fillId="0" borderId="0" xfId="0" applyNumberFormat="1" applyFont="1" applyFill="1" applyBorder="1" applyAlignment="1" applyProtection="1">
      <alignment horizontal="center" vertical="center"/>
      <protection/>
    </xf>
    <xf numFmtId="165" fontId="3" fillId="0" borderId="18" xfId="0" applyNumberFormat="1" applyFont="1" applyFill="1" applyBorder="1" applyAlignment="1" applyProtection="1">
      <alignment vertical="center"/>
      <protection/>
    </xf>
    <xf numFmtId="165" fontId="3" fillId="0" borderId="19" xfId="0" applyNumberFormat="1" applyFont="1" applyFill="1" applyBorder="1" applyAlignment="1" applyProtection="1">
      <alignment vertical="center"/>
      <protection/>
    </xf>
    <xf numFmtId="165" fontId="3" fillId="0" borderId="0" xfId="0" applyNumberFormat="1" applyFont="1" applyFill="1" applyBorder="1" applyAlignment="1" applyProtection="1">
      <alignment vertical="center"/>
      <protection/>
    </xf>
    <xf numFmtId="165" fontId="3" fillId="20" borderId="20" xfId="0" applyNumberFormat="1" applyFont="1" applyFill="1" applyBorder="1" applyAlignment="1" applyProtection="1">
      <alignment vertical="center"/>
      <protection/>
    </xf>
    <xf numFmtId="165" fontId="4" fillId="22" borderId="21" xfId="0" applyNumberFormat="1" applyFont="1" applyFill="1" applyBorder="1" applyAlignment="1" applyProtection="1">
      <alignment vertical="center"/>
      <protection/>
    </xf>
    <xf numFmtId="165" fontId="4" fillId="0" borderId="21" xfId="0" applyNumberFormat="1" applyFont="1" applyFill="1" applyBorder="1" applyAlignment="1" applyProtection="1">
      <alignment horizontal="center" vertical="center"/>
      <protection/>
    </xf>
    <xf numFmtId="165" fontId="3" fillId="0" borderId="21" xfId="0" applyNumberFormat="1" applyFont="1" applyFill="1" applyBorder="1" applyAlignment="1" applyProtection="1">
      <alignment vertical="center"/>
      <protection/>
    </xf>
    <xf numFmtId="165" fontId="4" fillId="22" borderId="22" xfId="0" applyNumberFormat="1" applyFont="1" applyFill="1" applyBorder="1" applyAlignment="1" applyProtection="1">
      <alignment vertical="center"/>
      <protection/>
    </xf>
    <xf numFmtId="165" fontId="4" fillId="22" borderId="23" xfId="0" applyNumberFormat="1" applyFont="1" applyFill="1" applyBorder="1" applyAlignment="1" applyProtection="1">
      <alignment vertical="center"/>
      <protection/>
    </xf>
    <xf numFmtId="165" fontId="4" fillId="0" borderId="22" xfId="0" applyNumberFormat="1" applyFont="1" applyFill="1" applyBorder="1" applyAlignment="1" applyProtection="1">
      <alignment horizontal="center" vertical="center"/>
      <protection/>
    </xf>
    <xf numFmtId="165" fontId="4" fillId="0" borderId="23" xfId="0" applyNumberFormat="1" applyFont="1" applyFill="1" applyBorder="1" applyAlignment="1" applyProtection="1">
      <alignment horizontal="center" vertical="center"/>
      <protection/>
    </xf>
    <xf numFmtId="165" fontId="3" fillId="0" borderId="22" xfId="0" applyNumberFormat="1" applyFont="1" applyFill="1" applyBorder="1" applyAlignment="1" applyProtection="1">
      <alignment vertical="center"/>
      <protection/>
    </xf>
    <xf numFmtId="165" fontId="3" fillId="0" borderId="23" xfId="0" applyNumberFormat="1" applyFont="1" applyFill="1" applyBorder="1" applyAlignment="1" applyProtection="1">
      <alignment vertical="center"/>
      <protection/>
    </xf>
    <xf numFmtId="165" fontId="3" fillId="20" borderId="24" xfId="0" applyNumberFormat="1" applyFont="1" applyFill="1" applyBorder="1" applyAlignment="1" applyProtection="1">
      <alignment vertical="center"/>
      <protection/>
    </xf>
    <xf numFmtId="165" fontId="4" fillId="22" borderId="25" xfId="0" applyNumberFormat="1" applyFont="1" applyFill="1" applyBorder="1" applyAlignment="1" applyProtection="1">
      <alignment vertical="center"/>
      <protection/>
    </xf>
    <xf numFmtId="165" fontId="4" fillId="22" borderId="26" xfId="0" applyNumberFormat="1" applyFont="1" applyFill="1" applyBorder="1" applyAlignment="1" applyProtection="1">
      <alignment vertical="center"/>
      <protection/>
    </xf>
    <xf numFmtId="165" fontId="4" fillId="0" borderId="26" xfId="0" applyNumberFormat="1" applyFont="1" applyFill="1" applyBorder="1" applyAlignment="1" applyProtection="1">
      <alignment horizontal="center" vertical="center"/>
      <protection/>
    </xf>
    <xf numFmtId="165" fontId="3" fillId="0" borderId="25" xfId="0" applyNumberFormat="1" applyFont="1" applyFill="1" applyBorder="1" applyAlignment="1" applyProtection="1">
      <alignment vertical="center"/>
      <protection/>
    </xf>
    <xf numFmtId="165" fontId="3" fillId="0" borderId="26" xfId="0" applyNumberFormat="1" applyFont="1" applyFill="1" applyBorder="1" applyAlignment="1" applyProtection="1">
      <alignment vertical="center"/>
      <protection/>
    </xf>
    <xf numFmtId="165" fontId="3" fillId="0" borderId="27" xfId="0" applyNumberFormat="1" applyFont="1" applyFill="1" applyBorder="1" applyAlignment="1" applyProtection="1">
      <alignment vertical="center"/>
      <protection/>
    </xf>
    <xf numFmtId="164" fontId="6" fillId="0" borderId="0" xfId="0" applyFont="1" applyFill="1" applyBorder="1" applyAlignment="1">
      <alignment horizontal="center"/>
    </xf>
    <xf numFmtId="164" fontId="10" fillId="0" borderId="0" xfId="0" applyFont="1" applyFill="1" applyBorder="1" applyAlignment="1">
      <alignment horizontal="center" vertical="center"/>
    </xf>
    <xf numFmtId="164" fontId="11" fillId="0" borderId="0" xfId="0" applyFont="1" applyFill="1" applyBorder="1" applyAlignment="1">
      <alignment horizontal="center"/>
    </xf>
    <xf numFmtId="165" fontId="3" fillId="23" borderId="10" xfId="0" applyNumberFormat="1" applyFont="1" applyFill="1" applyBorder="1" applyAlignment="1" applyProtection="1">
      <alignment vertical="center"/>
      <protection/>
    </xf>
    <xf numFmtId="165" fontId="4" fillId="24" borderId="11" xfId="0" applyNumberFormat="1" applyFont="1" applyFill="1" applyBorder="1" applyAlignment="1" applyProtection="1">
      <alignment vertical="center"/>
      <protection/>
    </xf>
    <xf numFmtId="165" fontId="4" fillId="24" borderId="12" xfId="0" applyNumberFormat="1" applyFont="1" applyFill="1" applyBorder="1" applyAlignment="1" applyProtection="1">
      <alignment vertical="center"/>
      <protection/>
    </xf>
    <xf numFmtId="165" fontId="4" fillId="24" borderId="13" xfId="0" applyNumberFormat="1" applyFont="1" applyFill="1" applyBorder="1" applyAlignment="1" applyProtection="1">
      <alignment vertical="center"/>
      <protection/>
    </xf>
    <xf numFmtId="164" fontId="9" fillId="0" borderId="0" xfId="0" applyFont="1" applyFill="1" applyBorder="1" applyAlignment="1">
      <alignment horizontal="center"/>
    </xf>
    <xf numFmtId="165" fontId="3" fillId="23" borderId="14" xfId="0" applyNumberFormat="1" applyFont="1" applyFill="1" applyBorder="1" applyAlignment="1" applyProtection="1">
      <alignment vertical="center"/>
      <protection/>
    </xf>
    <xf numFmtId="165" fontId="4" fillId="23" borderId="15" xfId="0" applyNumberFormat="1" applyFont="1" applyFill="1" applyBorder="1" applyAlignment="1" applyProtection="1">
      <alignment vertical="center"/>
      <protection/>
    </xf>
    <xf numFmtId="165" fontId="4" fillId="23" borderId="16" xfId="0" applyNumberFormat="1" applyFont="1" applyFill="1" applyBorder="1" applyAlignment="1" applyProtection="1">
      <alignment vertical="center"/>
      <protection/>
    </xf>
    <xf numFmtId="165" fontId="4" fillId="23" borderId="17" xfId="0" applyNumberFormat="1" applyFont="1" applyFill="1" applyBorder="1" applyAlignment="1" applyProtection="1">
      <alignment vertical="center"/>
      <protection/>
    </xf>
    <xf numFmtId="165" fontId="4" fillId="20" borderId="16" xfId="0" applyNumberFormat="1" applyFont="1" applyFill="1" applyBorder="1" applyAlignment="1" applyProtection="1">
      <alignment vertical="center"/>
      <protection/>
    </xf>
    <xf numFmtId="166" fontId="4" fillId="20" borderId="10" xfId="0" applyNumberFormat="1" applyFont="1" applyFill="1" applyBorder="1" applyAlignment="1" applyProtection="1">
      <alignment vertical="center"/>
      <protection/>
    </xf>
    <xf numFmtId="167" fontId="4" fillId="0" borderId="11" xfId="0" applyNumberFormat="1" applyFont="1" applyFill="1" applyBorder="1" applyAlignment="1" applyProtection="1">
      <alignment vertical="center"/>
      <protection/>
    </xf>
    <xf numFmtId="167" fontId="4" fillId="0" borderId="12" xfId="0" applyNumberFormat="1" applyFont="1" applyFill="1" applyBorder="1" applyAlignment="1" applyProtection="1">
      <alignment vertical="center"/>
      <protection/>
    </xf>
    <xf numFmtId="167" fontId="4" fillId="0" borderId="13" xfId="0" applyNumberFormat="1" applyFont="1" applyFill="1" applyBorder="1" applyAlignment="1" applyProtection="1">
      <alignment vertical="center"/>
      <protection/>
    </xf>
    <xf numFmtId="165" fontId="4" fillId="24" borderId="28" xfId="0" applyNumberFormat="1" applyFont="1" applyFill="1" applyBorder="1" applyAlignment="1" applyProtection="1">
      <alignment vertical="center"/>
      <protection/>
    </xf>
    <xf numFmtId="165" fontId="4" fillId="24" borderId="18" xfId="0" applyNumberFormat="1" applyFont="1" applyFill="1" applyBorder="1" applyAlignment="1" applyProtection="1">
      <alignment vertical="center"/>
      <protection/>
    </xf>
    <xf numFmtId="165" fontId="4" fillId="24" borderId="19" xfId="0" applyNumberFormat="1" applyFont="1" applyFill="1" applyBorder="1" applyAlignment="1" applyProtection="1">
      <alignment vertical="center"/>
      <protection/>
    </xf>
    <xf numFmtId="165" fontId="4" fillId="24" borderId="0" xfId="0" applyNumberFormat="1" applyFont="1" applyFill="1" applyBorder="1" applyAlignment="1" applyProtection="1">
      <alignment vertical="center"/>
      <protection/>
    </xf>
    <xf numFmtId="165" fontId="4" fillId="0" borderId="28" xfId="0" applyNumberFormat="1" applyFont="1" applyFill="1" applyBorder="1" applyAlignment="1" applyProtection="1">
      <alignment vertical="center"/>
      <protection/>
    </xf>
    <xf numFmtId="165" fontId="4" fillId="0" borderId="18" xfId="0" applyNumberFormat="1" applyFont="1" applyFill="1" applyBorder="1" applyAlignment="1" applyProtection="1">
      <alignment vertical="center"/>
      <protection/>
    </xf>
    <xf numFmtId="165" fontId="4" fillId="0" borderId="19" xfId="0" applyNumberFormat="1" applyFont="1" applyFill="1" applyBorder="1" applyAlignment="1" applyProtection="1">
      <alignment vertical="center"/>
      <protection/>
    </xf>
    <xf numFmtId="165" fontId="4" fillId="0" borderId="0" xfId="0" applyNumberFormat="1" applyFont="1" applyFill="1" applyBorder="1" applyAlignment="1" applyProtection="1">
      <alignment vertical="center"/>
      <protection/>
    </xf>
    <xf numFmtId="165" fontId="3" fillId="23" borderId="20" xfId="0" applyNumberFormat="1" applyFont="1" applyFill="1" applyBorder="1" applyAlignment="1" applyProtection="1">
      <alignment vertical="center"/>
      <protection/>
    </xf>
    <xf numFmtId="165" fontId="4" fillId="24" borderId="29" xfId="0" applyNumberFormat="1" applyFont="1" applyFill="1" applyBorder="1" applyAlignment="1" applyProtection="1">
      <alignment vertical="center"/>
      <protection/>
    </xf>
    <xf numFmtId="165" fontId="4" fillId="24" borderId="21" xfId="0" applyNumberFormat="1" applyFont="1" applyFill="1" applyBorder="1" applyAlignment="1" applyProtection="1">
      <alignment vertical="center"/>
      <protection/>
    </xf>
    <xf numFmtId="165" fontId="4" fillId="0" borderId="29" xfId="0" applyNumberFormat="1" applyFont="1" applyFill="1" applyBorder="1" applyAlignment="1" applyProtection="1">
      <alignment vertical="center"/>
      <protection/>
    </xf>
    <xf numFmtId="165" fontId="4" fillId="0" borderId="21" xfId="0" applyNumberFormat="1" applyFont="1" applyFill="1" applyBorder="1" applyAlignment="1" applyProtection="1">
      <alignment vertical="center"/>
      <protection/>
    </xf>
    <xf numFmtId="165" fontId="4" fillId="24" borderId="30" xfId="0" applyNumberFormat="1" applyFont="1" applyFill="1" applyBorder="1" applyAlignment="1" applyProtection="1">
      <alignment vertical="center"/>
      <protection/>
    </xf>
    <xf numFmtId="165" fontId="4" fillId="24" borderId="22" xfId="0" applyNumberFormat="1" applyFont="1" applyFill="1" applyBorder="1" applyAlignment="1" applyProtection="1">
      <alignment vertical="center"/>
      <protection/>
    </xf>
    <xf numFmtId="165" fontId="4" fillId="24" borderId="23" xfId="0" applyNumberFormat="1" applyFont="1" applyFill="1" applyBorder="1" applyAlignment="1" applyProtection="1">
      <alignment vertical="center"/>
      <protection/>
    </xf>
    <xf numFmtId="165" fontId="4" fillId="0" borderId="30" xfId="0" applyNumberFormat="1" applyFont="1" applyFill="1" applyBorder="1" applyAlignment="1" applyProtection="1">
      <alignment vertical="center"/>
      <protection/>
    </xf>
    <xf numFmtId="165" fontId="4" fillId="0" borderId="22" xfId="0" applyNumberFormat="1" applyFont="1" applyFill="1" applyBorder="1" applyAlignment="1" applyProtection="1">
      <alignment vertical="center"/>
      <protection/>
    </xf>
    <xf numFmtId="165" fontId="4" fillId="0" borderId="23" xfId="0" applyNumberFormat="1" applyFont="1" applyFill="1" applyBorder="1" applyAlignment="1" applyProtection="1">
      <alignment vertical="center"/>
      <protection/>
    </xf>
    <xf numFmtId="165" fontId="4" fillId="20" borderId="10" xfId="0" applyNumberFormat="1" applyFont="1" applyFill="1" applyBorder="1" applyAlignment="1" applyProtection="1">
      <alignment vertical="center"/>
      <protection/>
    </xf>
    <xf numFmtId="165" fontId="3" fillId="23" borderId="24" xfId="0" applyNumberFormat="1" applyFont="1" applyFill="1" applyBorder="1" applyAlignment="1" applyProtection="1">
      <alignment vertical="center"/>
      <protection/>
    </xf>
    <xf numFmtId="165" fontId="4" fillId="24" borderId="25" xfId="0" applyNumberFormat="1" applyFont="1" applyFill="1" applyBorder="1" applyAlignment="1" applyProtection="1">
      <alignment vertical="center"/>
      <protection/>
    </xf>
    <xf numFmtId="165" fontId="4" fillId="24" borderId="26" xfId="0" applyNumberFormat="1" applyFont="1" applyFill="1" applyBorder="1" applyAlignment="1" applyProtection="1">
      <alignment vertical="center"/>
      <protection/>
    </xf>
    <xf numFmtId="165" fontId="4" fillId="24" borderId="27" xfId="0" applyNumberFormat="1" applyFont="1" applyFill="1" applyBorder="1" applyAlignment="1" applyProtection="1">
      <alignment vertical="center"/>
      <protection/>
    </xf>
    <xf numFmtId="165" fontId="4" fillId="0" borderId="25" xfId="0" applyNumberFormat="1" applyFont="1" applyFill="1" applyBorder="1" applyAlignment="1" applyProtection="1">
      <alignment vertical="center"/>
      <protection/>
    </xf>
    <xf numFmtId="165" fontId="4" fillId="0" borderId="26" xfId="0" applyNumberFormat="1" applyFont="1" applyFill="1" applyBorder="1" applyAlignment="1" applyProtection="1">
      <alignment vertical="center"/>
      <protection/>
    </xf>
    <xf numFmtId="165" fontId="4" fillId="0" borderId="27" xfId="0" applyNumberFormat="1" applyFont="1" applyFill="1" applyBorder="1" applyAlignment="1" applyProtection="1">
      <alignment vertical="center"/>
      <protection/>
    </xf>
    <xf numFmtId="164" fontId="17" fillId="0" borderId="0" xfId="0" applyFont="1" applyFill="1" applyBorder="1" applyAlignment="1">
      <alignment horizontal="center" vertical="center"/>
    </xf>
    <xf numFmtId="166" fontId="17" fillId="20" borderId="15" xfId="0" applyNumberFormat="1" applyFont="1" applyFill="1" applyBorder="1" applyAlignment="1" applyProtection="1">
      <alignment vertical="center"/>
      <protection/>
    </xf>
    <xf numFmtId="166" fontId="17" fillId="20" borderId="16" xfId="0" applyNumberFormat="1" applyFont="1" applyFill="1" applyBorder="1" applyAlignment="1" applyProtection="1">
      <alignment vertical="center"/>
      <protection/>
    </xf>
    <xf numFmtId="166" fontId="17" fillId="20" borderId="17" xfId="0" applyNumberFormat="1" applyFont="1" applyFill="1" applyBorder="1" applyAlignment="1" applyProtection="1">
      <alignment vertical="center"/>
      <protection/>
    </xf>
    <xf numFmtId="165" fontId="17" fillId="20" borderId="16" xfId="0" applyNumberFormat="1" applyFont="1" applyFill="1" applyBorder="1" applyAlignment="1" applyProtection="1">
      <alignment vertical="center"/>
      <protection/>
    </xf>
    <xf numFmtId="166" fontId="4" fillId="0" borderId="18" xfId="0" applyNumberFormat="1" applyFont="1" applyFill="1" applyBorder="1" applyAlignment="1" applyProtection="1">
      <alignment vertical="center"/>
      <protection/>
    </xf>
    <xf numFmtId="166" fontId="4" fillId="0" borderId="19" xfId="0" applyNumberFormat="1" applyFont="1" applyFill="1" applyBorder="1" applyAlignment="1" applyProtection="1">
      <alignment vertical="center"/>
      <protection/>
    </xf>
    <xf numFmtId="166" fontId="4" fillId="0" borderId="0" xfId="0" applyNumberFormat="1" applyFont="1" applyFill="1" applyBorder="1" applyAlignment="1" applyProtection="1">
      <alignment vertical="center"/>
      <protection/>
    </xf>
    <xf numFmtId="166" fontId="4" fillId="20" borderId="20" xfId="0" applyNumberFormat="1" applyFont="1" applyFill="1" applyBorder="1" applyAlignment="1" applyProtection="1">
      <alignment vertical="center"/>
      <protection/>
    </xf>
    <xf numFmtId="166" fontId="4" fillId="0" borderId="21" xfId="0" applyNumberFormat="1" applyFont="1" applyFill="1" applyBorder="1" applyAlignment="1" applyProtection="1">
      <alignment vertical="center"/>
      <protection/>
    </xf>
    <xf numFmtId="166" fontId="4" fillId="0" borderId="22" xfId="0" applyNumberFormat="1" applyFont="1" applyFill="1" applyBorder="1" applyAlignment="1" applyProtection="1">
      <alignment vertical="center"/>
      <protection/>
    </xf>
    <xf numFmtId="166" fontId="4" fillId="0" borderId="23" xfId="0" applyNumberFormat="1" applyFont="1" applyFill="1" applyBorder="1" applyAlignment="1" applyProtection="1">
      <alignment vertical="center"/>
      <protection/>
    </xf>
    <xf numFmtId="166" fontId="4" fillId="0" borderId="10" xfId="0" applyNumberFormat="1" applyFont="1" applyFill="1" applyBorder="1" applyAlignment="1">
      <alignment vertical="center"/>
    </xf>
    <xf numFmtId="166" fontId="4" fillId="20" borderId="24" xfId="0" applyNumberFormat="1" applyFont="1" applyFill="1" applyBorder="1" applyAlignment="1" applyProtection="1">
      <alignment vertical="center"/>
      <protection/>
    </xf>
    <xf numFmtId="166" fontId="4" fillId="0" borderId="25" xfId="0" applyNumberFormat="1" applyFont="1" applyFill="1" applyBorder="1" applyAlignment="1" applyProtection="1">
      <alignment vertical="center"/>
      <protection/>
    </xf>
    <xf numFmtId="166" fontId="4" fillId="0" borderId="26" xfId="0" applyNumberFormat="1" applyFont="1" applyFill="1" applyBorder="1" applyAlignment="1" applyProtection="1">
      <alignment vertical="center"/>
      <protection/>
    </xf>
    <xf numFmtId="165" fontId="14" fillId="20" borderId="10" xfId="0" applyNumberFormat="1" applyFont="1" applyFill="1" applyBorder="1" applyAlignment="1" applyProtection="1">
      <alignment vertical="center"/>
      <protection/>
    </xf>
    <xf numFmtId="165" fontId="14" fillId="0" borderId="11" xfId="0" applyNumberFormat="1" applyFont="1" applyFill="1" applyBorder="1" applyAlignment="1" applyProtection="1">
      <alignment vertical="center"/>
      <protection/>
    </xf>
    <xf numFmtId="165" fontId="14" fillId="0" borderId="12" xfId="0" applyNumberFormat="1" applyFont="1" applyFill="1" applyBorder="1" applyAlignment="1" applyProtection="1">
      <alignment vertical="center"/>
      <protection/>
    </xf>
    <xf numFmtId="165" fontId="14" fillId="0" borderId="13" xfId="0" applyNumberFormat="1" applyFont="1" applyFill="1" applyBorder="1" applyAlignment="1" applyProtection="1">
      <alignment vertical="center"/>
      <protection/>
    </xf>
    <xf numFmtId="164" fontId="14" fillId="0" borderId="0" xfId="0" applyFont="1" applyFill="1" applyBorder="1" applyAlignment="1">
      <alignment horizontal="center"/>
    </xf>
    <xf numFmtId="165" fontId="17" fillId="20" borderId="15" xfId="0" applyNumberFormat="1" applyFont="1" applyFill="1" applyBorder="1" applyAlignment="1" applyProtection="1">
      <alignment vertical="center"/>
      <protection/>
    </xf>
    <xf numFmtId="165" fontId="17" fillId="20" borderId="17" xfId="0" applyNumberFormat="1" applyFont="1" applyFill="1" applyBorder="1" applyAlignment="1" applyProtection="1">
      <alignment vertical="center"/>
      <protection/>
    </xf>
    <xf numFmtId="165" fontId="14" fillId="20" borderId="14" xfId="0" applyNumberFormat="1" applyFont="1" applyFill="1" applyBorder="1" applyAlignment="1" applyProtection="1">
      <alignment vertical="center"/>
      <protection/>
    </xf>
    <xf numFmtId="165" fontId="14" fillId="20" borderId="15" xfId="0" applyNumberFormat="1" applyFont="1" applyFill="1" applyBorder="1" applyAlignment="1" applyProtection="1">
      <alignment vertical="center"/>
      <protection/>
    </xf>
    <xf numFmtId="165" fontId="14" fillId="20" borderId="16" xfId="0" applyNumberFormat="1" applyFont="1" applyFill="1" applyBorder="1" applyAlignment="1" applyProtection="1">
      <alignment vertical="center"/>
      <protection/>
    </xf>
    <xf numFmtId="165" fontId="14" fillId="20" borderId="17" xfId="0" applyNumberFormat="1" applyFont="1" applyFill="1" applyBorder="1" applyAlignment="1" applyProtection="1">
      <alignment vertical="center"/>
      <protection/>
    </xf>
    <xf numFmtId="165" fontId="14" fillId="0" borderId="18" xfId="0" applyNumberFormat="1" applyFont="1" applyFill="1" applyBorder="1" applyAlignment="1" applyProtection="1">
      <alignment vertical="center"/>
      <protection/>
    </xf>
    <xf numFmtId="165" fontId="14" fillId="0" borderId="19" xfId="0" applyNumberFormat="1" applyFont="1" applyFill="1" applyBorder="1" applyAlignment="1" applyProtection="1">
      <alignment vertical="center"/>
      <protection/>
    </xf>
    <xf numFmtId="165" fontId="14" fillId="0" borderId="0" xfId="0" applyNumberFormat="1" applyFont="1" applyFill="1" applyBorder="1" applyAlignment="1" applyProtection="1">
      <alignment vertical="center"/>
      <protection/>
    </xf>
    <xf numFmtId="167" fontId="4" fillId="0" borderId="18" xfId="0" applyNumberFormat="1" applyFont="1" applyFill="1" applyBorder="1" applyAlignment="1" applyProtection="1">
      <alignment vertical="center"/>
      <protection/>
    </xf>
    <xf numFmtId="167" fontId="4" fillId="0" borderId="19" xfId="0" applyNumberFormat="1" applyFont="1" applyFill="1" applyBorder="1" applyAlignment="1" applyProtection="1">
      <alignment vertical="center"/>
      <protection/>
    </xf>
    <xf numFmtId="167" fontId="4" fillId="0" borderId="0" xfId="0" applyNumberFormat="1" applyFont="1" applyFill="1" applyBorder="1" applyAlignment="1" applyProtection="1">
      <alignment vertical="center"/>
      <protection/>
    </xf>
    <xf numFmtId="165" fontId="14" fillId="20" borderId="20" xfId="0" applyNumberFormat="1" applyFont="1" applyFill="1" applyBorder="1" applyAlignment="1" applyProtection="1">
      <alignment vertical="center"/>
      <protection/>
    </xf>
    <xf numFmtId="165" fontId="14" fillId="0" borderId="21" xfId="0" applyNumberFormat="1" applyFont="1" applyFill="1" applyBorder="1" applyAlignment="1" applyProtection="1">
      <alignment vertical="center"/>
      <protection/>
    </xf>
    <xf numFmtId="167" fontId="4" fillId="0" borderId="21" xfId="0" applyNumberFormat="1" applyFont="1" applyFill="1" applyBorder="1" applyAlignment="1" applyProtection="1">
      <alignment vertical="center"/>
      <protection/>
    </xf>
    <xf numFmtId="164" fontId="6" fillId="0" borderId="0" xfId="0" applyFont="1" applyFill="1" applyBorder="1" applyAlignment="1">
      <alignment horizontal="center" vertical="center"/>
    </xf>
    <xf numFmtId="165" fontId="14" fillId="0" borderId="22" xfId="0" applyNumberFormat="1" applyFont="1" applyFill="1" applyBorder="1" applyAlignment="1" applyProtection="1">
      <alignment vertical="center"/>
      <protection/>
    </xf>
    <xf numFmtId="165" fontId="14" fillId="0" borderId="23" xfId="0" applyNumberFormat="1" applyFont="1" applyFill="1" applyBorder="1" applyAlignment="1" applyProtection="1">
      <alignment vertical="center"/>
      <protection/>
    </xf>
    <xf numFmtId="167" fontId="4" fillId="0" borderId="22" xfId="0" applyNumberFormat="1" applyFont="1" applyFill="1" applyBorder="1" applyAlignment="1" applyProtection="1">
      <alignment vertical="center"/>
      <protection/>
    </xf>
    <xf numFmtId="167" fontId="4" fillId="0" borderId="23" xfId="0" applyNumberFormat="1" applyFont="1" applyFill="1" applyBorder="1" applyAlignment="1" applyProtection="1">
      <alignment vertical="center"/>
      <protection/>
    </xf>
    <xf numFmtId="164" fontId="9" fillId="0" borderId="0" xfId="0" applyFont="1" applyFill="1" applyBorder="1" applyAlignment="1">
      <alignment horizontal="right"/>
    </xf>
    <xf numFmtId="165" fontId="14" fillId="20" borderId="24" xfId="0" applyNumberFormat="1" applyFont="1" applyFill="1" applyBorder="1" applyAlignment="1" applyProtection="1">
      <alignment vertical="center"/>
      <protection/>
    </xf>
    <xf numFmtId="165" fontId="14" fillId="0" borderId="25" xfId="0" applyNumberFormat="1" applyFont="1" applyFill="1" applyBorder="1" applyAlignment="1" applyProtection="1">
      <alignment vertical="center"/>
      <protection/>
    </xf>
    <xf numFmtId="165" fontId="14" fillId="0" borderId="26" xfId="0" applyNumberFormat="1" applyFont="1" applyFill="1" applyBorder="1" applyAlignment="1" applyProtection="1">
      <alignment vertical="center"/>
      <protection/>
    </xf>
    <xf numFmtId="165" fontId="14" fillId="0" borderId="27" xfId="0" applyNumberFormat="1" applyFont="1" applyFill="1" applyBorder="1" applyAlignment="1" applyProtection="1">
      <alignment vertical="center"/>
      <protection/>
    </xf>
    <xf numFmtId="167" fontId="4" fillId="0" borderId="25" xfId="0" applyNumberFormat="1" applyFont="1" applyFill="1" applyBorder="1" applyAlignment="1" applyProtection="1">
      <alignment vertical="center"/>
      <protection/>
    </xf>
    <xf numFmtId="167" fontId="4" fillId="0" borderId="26" xfId="0" applyNumberFormat="1" applyFont="1" applyFill="1" applyBorder="1" applyAlignment="1" applyProtection="1">
      <alignment vertical="center"/>
      <protection/>
    </xf>
    <xf numFmtId="164" fontId="6" fillId="0" borderId="0" xfId="0" applyFont="1" applyAlignment="1">
      <alignment horizontal="center"/>
    </xf>
    <xf numFmtId="166" fontId="6" fillId="20" borderId="10" xfId="0" applyNumberFormat="1" applyFont="1" applyFill="1" applyBorder="1" applyAlignment="1" applyProtection="1">
      <alignment vertical="center"/>
      <protection/>
    </xf>
    <xf numFmtId="164" fontId="6" fillId="0" borderId="0" xfId="0" applyFont="1" applyAlignment="1">
      <alignment/>
    </xf>
    <xf numFmtId="166" fontId="4" fillId="0" borderId="11" xfId="0" applyNumberFormat="1" applyFont="1" applyFill="1" applyBorder="1" applyAlignment="1" applyProtection="1">
      <alignment vertical="center"/>
      <protection/>
    </xf>
    <xf numFmtId="166" fontId="4" fillId="0" borderId="12" xfId="0" applyNumberFormat="1" applyFont="1" applyFill="1" applyBorder="1" applyAlignment="1" applyProtection="1">
      <alignment vertical="center"/>
      <protection/>
    </xf>
    <xf numFmtId="166" fontId="4" fillId="0" borderId="13" xfId="0" applyNumberFormat="1" applyFont="1" applyFill="1" applyBorder="1" applyAlignment="1" applyProtection="1">
      <alignment vertical="center"/>
      <protection/>
    </xf>
    <xf numFmtId="165" fontId="4" fillId="25" borderId="11" xfId="0" applyNumberFormat="1" applyFont="1" applyFill="1" applyBorder="1" applyAlignment="1" applyProtection="1">
      <alignment vertical="center"/>
      <protection/>
    </xf>
    <xf numFmtId="165" fontId="4" fillId="25" borderId="12" xfId="0" applyNumberFormat="1" applyFont="1" applyFill="1" applyBorder="1" applyAlignment="1" applyProtection="1">
      <alignment vertical="center"/>
      <protection/>
    </xf>
    <xf numFmtId="165" fontId="4" fillId="25" borderId="13" xfId="0" applyNumberFormat="1" applyFont="1" applyFill="1" applyBorder="1" applyAlignment="1" applyProtection="1">
      <alignment vertical="center"/>
      <protection/>
    </xf>
    <xf numFmtId="165" fontId="4" fillId="25" borderId="18" xfId="0" applyNumberFormat="1" applyFont="1" applyFill="1" applyBorder="1" applyAlignment="1" applyProtection="1">
      <alignment vertical="center"/>
      <protection/>
    </xf>
    <xf numFmtId="165" fontId="4" fillId="25" borderId="19" xfId="0" applyNumberFormat="1" applyFont="1" applyFill="1" applyBorder="1" applyAlignment="1" applyProtection="1">
      <alignment vertical="center"/>
      <protection/>
    </xf>
    <xf numFmtId="165" fontId="4" fillId="25" borderId="0" xfId="0" applyNumberFormat="1" applyFont="1" applyFill="1" applyBorder="1" applyAlignment="1" applyProtection="1">
      <alignment vertical="center"/>
      <protection/>
    </xf>
    <xf numFmtId="165" fontId="4" fillId="25" borderId="21" xfId="0" applyNumberFormat="1" applyFont="1" applyFill="1" applyBorder="1" applyAlignment="1" applyProtection="1">
      <alignment vertical="center"/>
      <protection/>
    </xf>
    <xf numFmtId="165" fontId="4" fillId="25" borderId="22" xfId="0" applyNumberFormat="1" applyFont="1" applyFill="1" applyBorder="1" applyAlignment="1" applyProtection="1">
      <alignment vertical="center"/>
      <protection/>
    </xf>
    <xf numFmtId="165" fontId="4" fillId="25" borderId="23" xfId="0" applyNumberFormat="1" applyFont="1" applyFill="1" applyBorder="1" applyAlignment="1" applyProtection="1">
      <alignment vertical="center"/>
      <protection/>
    </xf>
    <xf numFmtId="165" fontId="4" fillId="25" borderId="25" xfId="0" applyNumberFormat="1" applyFont="1" applyFill="1" applyBorder="1" applyAlignment="1" applyProtection="1">
      <alignment vertical="center"/>
      <protection/>
    </xf>
    <xf numFmtId="165" fontId="4" fillId="25" borderId="26" xfId="0" applyNumberFormat="1" applyFont="1" applyFill="1" applyBorder="1" applyAlignment="1" applyProtection="1">
      <alignment vertical="center"/>
      <protection/>
    </xf>
    <xf numFmtId="165" fontId="6" fillId="25" borderId="0" xfId="0" applyNumberFormat="1" applyFont="1" applyFill="1" applyBorder="1" applyAlignment="1" applyProtection="1">
      <alignment vertical="center"/>
      <protection/>
    </xf>
    <xf numFmtId="165" fontId="4" fillId="0" borderId="14" xfId="0" applyNumberFormat="1" applyFont="1" applyFill="1" applyBorder="1" applyAlignment="1" applyProtection="1">
      <alignment vertical="center"/>
      <protection/>
    </xf>
    <xf numFmtId="165" fontId="4" fillId="0" borderId="24" xfId="0" applyNumberFormat="1" applyFont="1" applyFill="1" applyBorder="1" applyAlignment="1" applyProtection="1">
      <alignment vertical="center"/>
      <protection/>
    </xf>
    <xf numFmtId="164" fontId="25" fillId="20" borderId="0" xfId="0" applyFont="1" applyFill="1" applyBorder="1" applyAlignment="1">
      <alignment horizontal="left"/>
    </xf>
    <xf numFmtId="164" fontId="0" fillId="26" borderId="31" xfId="0" applyFill="1" applyBorder="1" applyAlignment="1">
      <alignment/>
    </xf>
    <xf numFmtId="172" fontId="0" fillId="26" borderId="31" xfId="0" applyNumberFormat="1" applyFill="1" applyBorder="1" applyAlignment="1">
      <alignment/>
    </xf>
    <xf numFmtId="10" fontId="0" fillId="26" borderId="31" xfId="0" applyNumberFormat="1" applyFill="1" applyBorder="1" applyAlignment="1">
      <alignment/>
    </xf>
    <xf numFmtId="173" fontId="0" fillId="26" borderId="31" xfId="0" applyNumberFormat="1" applyFill="1" applyBorder="1" applyAlignment="1">
      <alignment/>
    </xf>
    <xf numFmtId="174" fontId="0" fillId="26" borderId="31" xfId="0" applyNumberFormat="1" applyFill="1" applyBorder="1" applyAlignment="1">
      <alignment/>
    </xf>
    <xf numFmtId="164" fontId="29" fillId="0" borderId="0" xfId="0" applyFont="1" applyAlignment="1">
      <alignment horizontal="right"/>
    </xf>
    <xf numFmtId="164" fontId="30" fillId="0" borderId="0" xfId="0" applyFont="1" applyAlignment="1">
      <alignment horizontal="center"/>
    </xf>
    <xf numFmtId="164" fontId="29" fillId="0" borderId="0" xfId="0" applyFont="1" applyAlignment="1">
      <alignment horizontal="center"/>
    </xf>
    <xf numFmtId="164" fontId="1" fillId="0" borderId="0" xfId="0" applyFont="1" applyAlignment="1">
      <alignment/>
    </xf>
    <xf numFmtId="168" fontId="0" fillId="0" borderId="31" xfId="0" applyNumberFormat="1" applyBorder="1" applyAlignment="1">
      <alignment/>
    </xf>
    <xf numFmtId="173" fontId="0" fillId="0" borderId="31" xfId="0" applyNumberFormat="1" applyBorder="1" applyAlignment="1">
      <alignment/>
    </xf>
    <xf numFmtId="2" fontId="0" fillId="0" borderId="31" xfId="0" applyNumberFormat="1" applyBorder="1" applyAlignment="1">
      <alignment/>
    </xf>
    <xf numFmtId="164" fontId="34" fillId="20" borderId="0" xfId="0" applyFont="1" applyFill="1" applyAlignment="1">
      <alignment horizontal="center"/>
    </xf>
    <xf numFmtId="164" fontId="4" fillId="20" borderId="0" xfId="0" applyFont="1" applyFill="1" applyAlignment="1">
      <alignment horizontal="center"/>
    </xf>
    <xf numFmtId="1" fontId="0" fillId="20" borderId="0" xfId="0" applyNumberFormat="1" applyFill="1" applyAlignment="1">
      <alignment/>
    </xf>
    <xf numFmtId="164" fontId="0" fillId="20" borderId="0" xfId="0" applyFont="1" applyFill="1" applyAlignment="1">
      <alignment horizontal="right"/>
    </xf>
    <xf numFmtId="164" fontId="37" fillId="20" borderId="0" xfId="0" applyFont="1" applyFill="1" applyAlignment="1">
      <alignment horizontal="center"/>
    </xf>
    <xf numFmtId="2" fontId="0" fillId="20" borderId="0" xfId="0" applyNumberFormat="1" applyFill="1" applyAlignment="1">
      <alignment/>
    </xf>
    <xf numFmtId="164" fontId="28" fillId="0" borderId="0" xfId="0" applyFont="1" applyAlignment="1">
      <alignment horizontal="center"/>
    </xf>
    <xf numFmtId="164" fontId="28" fillId="0" borderId="0" xfId="0" applyFont="1" applyAlignment="1" applyProtection="1">
      <alignment horizontal="center"/>
      <protection locked="0"/>
    </xf>
    <xf numFmtId="164" fontId="28" fillId="0" borderId="0" xfId="0" applyFont="1" applyAlignment="1">
      <alignment horizontal="left"/>
    </xf>
    <xf numFmtId="164" fontId="28" fillId="0" borderId="0" xfId="0" applyFont="1" applyAlignment="1">
      <alignment horizontal="right" indent="1"/>
    </xf>
    <xf numFmtId="165" fontId="4" fillId="20" borderId="31" xfId="0" applyNumberFormat="1" applyFont="1" applyFill="1" applyBorder="1" applyAlignment="1" applyProtection="1">
      <alignment vertical="center"/>
      <protection/>
    </xf>
    <xf numFmtId="164" fontId="28" fillId="0" borderId="0" xfId="0" applyFont="1" applyAlignment="1" applyProtection="1">
      <alignment horizontal="right" indent="1"/>
      <protection locked="0"/>
    </xf>
    <xf numFmtId="165" fontId="4" fillId="20" borderId="14" xfId="0" applyNumberFormat="1" applyFont="1" applyFill="1" applyBorder="1" applyAlignment="1" applyProtection="1">
      <alignment vertical="center"/>
      <protection/>
    </xf>
    <xf numFmtId="165" fontId="5" fillId="0" borderId="28" xfId="0" applyNumberFormat="1" applyFont="1" applyFill="1" applyBorder="1" applyAlignment="1" applyProtection="1">
      <alignment vertical="center"/>
      <protection/>
    </xf>
    <xf numFmtId="165" fontId="5" fillId="0" borderId="18" xfId="0" applyNumberFormat="1" applyFont="1" applyFill="1" applyBorder="1" applyAlignment="1" applyProtection="1">
      <alignment vertical="center"/>
      <protection/>
    </xf>
    <xf numFmtId="165" fontId="5" fillId="0" borderId="19" xfId="0" applyNumberFormat="1" applyFont="1" applyFill="1" applyBorder="1" applyAlignment="1" applyProtection="1">
      <alignment vertical="center"/>
      <protection/>
    </xf>
    <xf numFmtId="165" fontId="5" fillId="0" borderId="0" xfId="0" applyNumberFormat="1" applyFont="1" applyFill="1" applyBorder="1" applyAlignment="1" applyProtection="1">
      <alignment vertical="center"/>
      <protection/>
    </xf>
    <xf numFmtId="164" fontId="28" fillId="0" borderId="0" xfId="0" applyFont="1" applyAlignment="1" applyProtection="1">
      <alignment horizontal="left"/>
      <protection locked="0"/>
    </xf>
    <xf numFmtId="165" fontId="4" fillId="0" borderId="20" xfId="0" applyNumberFormat="1" applyFont="1" applyFill="1" applyBorder="1" applyAlignment="1" applyProtection="1">
      <alignment vertical="center"/>
      <protection/>
    </xf>
    <xf numFmtId="165" fontId="4" fillId="20" borderId="20" xfId="0" applyNumberFormat="1" applyFont="1" applyFill="1" applyBorder="1" applyAlignment="1" applyProtection="1">
      <alignment vertical="center"/>
      <protection/>
    </xf>
    <xf numFmtId="165" fontId="5" fillId="0" borderId="29" xfId="0" applyNumberFormat="1" applyFont="1" applyFill="1" applyBorder="1" applyAlignment="1" applyProtection="1">
      <alignment vertical="center"/>
      <protection/>
    </xf>
    <xf numFmtId="165" fontId="5" fillId="0" borderId="21" xfId="0" applyNumberFormat="1" applyFont="1" applyFill="1" applyBorder="1" applyAlignment="1" applyProtection="1">
      <alignment vertical="center"/>
      <protection/>
    </xf>
    <xf numFmtId="164" fontId="2" fillId="0" borderId="0" xfId="67" applyFont="1" applyAlignment="1">
      <alignment vertical="center"/>
      <protection/>
    </xf>
    <xf numFmtId="165" fontId="4" fillId="0" borderId="32" xfId="0" applyNumberFormat="1" applyFont="1" applyFill="1" applyBorder="1" applyAlignment="1" applyProtection="1">
      <alignment vertical="center"/>
      <protection/>
    </xf>
    <xf numFmtId="165" fontId="4" fillId="20" borderId="32" xfId="0" applyNumberFormat="1" applyFont="1" applyFill="1" applyBorder="1" applyAlignment="1" applyProtection="1">
      <alignment vertical="center"/>
      <protection/>
    </xf>
    <xf numFmtId="165" fontId="5" fillId="0" borderId="30" xfId="0" applyNumberFormat="1" applyFont="1" applyFill="1" applyBorder="1" applyAlignment="1" applyProtection="1">
      <alignment vertical="center"/>
      <protection/>
    </xf>
    <xf numFmtId="165" fontId="5" fillId="0" borderId="22" xfId="0" applyNumberFormat="1" applyFont="1" applyFill="1" applyBorder="1" applyAlignment="1" applyProtection="1">
      <alignment vertical="center"/>
      <protection/>
    </xf>
    <xf numFmtId="165" fontId="5" fillId="0" borderId="23" xfId="0" applyNumberFormat="1" applyFont="1" applyFill="1" applyBorder="1" applyAlignment="1" applyProtection="1">
      <alignment vertical="center"/>
      <protection/>
    </xf>
    <xf numFmtId="165" fontId="4" fillId="20" borderId="24" xfId="0" applyNumberFormat="1" applyFont="1" applyFill="1" applyBorder="1" applyAlignment="1" applyProtection="1">
      <alignment vertical="center"/>
      <protection/>
    </xf>
    <xf numFmtId="165" fontId="5" fillId="0" borderId="25" xfId="0" applyNumberFormat="1" applyFont="1" applyFill="1" applyBorder="1" applyAlignment="1" applyProtection="1">
      <alignment vertical="center"/>
      <protection/>
    </xf>
    <xf numFmtId="165" fontId="5" fillId="0" borderId="26" xfId="0" applyNumberFormat="1" applyFont="1" applyFill="1" applyBorder="1" applyAlignment="1" applyProtection="1">
      <alignment vertical="center"/>
      <protection/>
    </xf>
    <xf numFmtId="10" fontId="5" fillId="0" borderId="10" xfId="0" applyNumberFormat="1" applyFont="1" applyFill="1" applyBorder="1" applyAlignment="1">
      <alignment vertical="center"/>
    </xf>
    <xf numFmtId="166" fontId="5" fillId="20" borderId="10" xfId="0" applyNumberFormat="1" applyFont="1" applyFill="1" applyBorder="1" applyAlignment="1">
      <alignment vertical="center"/>
    </xf>
    <xf numFmtId="167" fontId="4" fillId="0" borderId="12" xfId="0" applyNumberFormat="1" applyFont="1" applyFill="1" applyBorder="1" applyAlignment="1">
      <alignment vertical="center"/>
    </xf>
    <xf numFmtId="167" fontId="4" fillId="0" borderId="13" xfId="0" applyNumberFormat="1" applyFont="1" applyFill="1" applyBorder="1" applyAlignment="1">
      <alignment vertical="center"/>
    </xf>
    <xf numFmtId="167" fontId="4" fillId="0" borderId="11" xfId="0" applyNumberFormat="1" applyFont="1" applyFill="1" applyBorder="1" applyAlignment="1">
      <alignment vertical="center"/>
    </xf>
    <xf numFmtId="167" fontId="5" fillId="0" borderId="13" xfId="0" applyNumberFormat="1" applyFont="1" applyFill="1" applyBorder="1" applyAlignment="1">
      <alignment vertical="center"/>
    </xf>
    <xf numFmtId="164" fontId="6" fillId="0" borderId="0" xfId="0" applyFont="1" applyAlignment="1">
      <alignment horizontal="left"/>
    </xf>
    <xf numFmtId="166" fontId="5" fillId="0" borderId="10" xfId="0" applyNumberFormat="1" applyFont="1" applyFill="1" applyBorder="1" applyAlignment="1">
      <alignment vertical="center"/>
    </xf>
    <xf numFmtId="10" fontId="4" fillId="0" borderId="0" xfId="0" applyNumberFormat="1" applyFont="1" applyAlignment="1">
      <alignment horizontal="center"/>
    </xf>
    <xf numFmtId="164" fontId="6" fillId="0" borderId="0" xfId="0" applyFont="1" applyAlignment="1">
      <alignment horizontal="right"/>
    </xf>
    <xf numFmtId="165" fontId="38" fillId="22" borderId="19" xfId="0" applyNumberFormat="1" applyFont="1" applyFill="1" applyBorder="1" applyAlignment="1" applyProtection="1">
      <alignment vertical="center"/>
      <protection/>
    </xf>
    <xf numFmtId="165" fontId="38" fillId="22" borderId="0" xfId="0" applyNumberFormat="1" applyFont="1" applyFill="1" applyBorder="1" applyAlignment="1" applyProtection="1">
      <alignment vertical="center"/>
      <protection/>
    </xf>
    <xf numFmtId="165" fontId="38" fillId="22" borderId="21" xfId="0" applyNumberFormat="1" applyFont="1" applyFill="1" applyBorder="1" applyAlignment="1" applyProtection="1">
      <alignment vertical="center"/>
      <protection/>
    </xf>
    <xf numFmtId="164" fontId="23" fillId="0" borderId="0" xfId="0" applyFont="1" applyAlignment="1">
      <alignment horizontal="center"/>
    </xf>
    <xf numFmtId="166" fontId="4" fillId="21" borderId="10" xfId="0" applyNumberFormat="1" applyFont="1" applyFill="1" applyBorder="1" applyAlignment="1">
      <alignment vertical="center"/>
    </xf>
    <xf numFmtId="166" fontId="6" fillId="22" borderId="12" xfId="0" applyNumberFormat="1" applyFont="1" applyFill="1" applyBorder="1" applyAlignment="1">
      <alignment vertical="center"/>
    </xf>
    <xf numFmtId="166" fontId="6" fillId="22" borderId="13" xfId="0" applyNumberFormat="1" applyFont="1" applyFill="1" applyBorder="1" applyAlignment="1">
      <alignment vertical="center"/>
    </xf>
    <xf numFmtId="165" fontId="5" fillId="0" borderId="27" xfId="0" applyNumberFormat="1" applyFont="1" applyFill="1" applyBorder="1" applyAlignment="1" applyProtection="1">
      <alignment vertical="center"/>
      <protection/>
    </xf>
    <xf numFmtId="165" fontId="4" fillId="20" borderId="33" xfId="0" applyNumberFormat="1" applyFont="1" applyFill="1" applyBorder="1" applyAlignment="1" applyProtection="1">
      <alignment vertical="center"/>
      <protection/>
    </xf>
    <xf numFmtId="165" fontId="4" fillId="0" borderId="34" xfId="0" applyNumberFormat="1" applyFont="1" applyFill="1" applyBorder="1" applyAlignment="1" applyProtection="1">
      <alignment vertical="center"/>
      <protection/>
    </xf>
    <xf numFmtId="165" fontId="4" fillId="0" borderId="35" xfId="0" applyNumberFormat="1" applyFont="1" applyFill="1" applyBorder="1" applyAlignment="1" applyProtection="1">
      <alignment vertical="center"/>
      <protection/>
    </xf>
    <xf numFmtId="165" fontId="6" fillId="20" borderId="15" xfId="0" applyNumberFormat="1" applyFont="1" applyFill="1" applyBorder="1" applyAlignment="1" applyProtection="1">
      <alignment horizontal="center" vertical="center"/>
      <protection/>
    </xf>
    <xf numFmtId="165" fontId="6" fillId="20" borderId="17" xfId="0" applyNumberFormat="1" applyFont="1" applyFill="1" applyBorder="1" applyAlignment="1" applyProtection="1">
      <alignment horizontal="center" vertical="center"/>
      <protection/>
    </xf>
    <xf numFmtId="165" fontId="4" fillId="22" borderId="36" xfId="0" applyNumberFormat="1" applyFont="1" applyFill="1" applyBorder="1" applyAlignment="1" applyProtection="1">
      <alignment vertical="center"/>
      <protection/>
    </xf>
    <xf numFmtId="165" fontId="4" fillId="22" borderId="34" xfId="0" applyNumberFormat="1" applyFont="1" applyFill="1" applyBorder="1" applyAlignment="1" applyProtection="1">
      <alignment vertical="center"/>
      <protection/>
    </xf>
    <xf numFmtId="165" fontId="38" fillId="22" borderId="34" xfId="0" applyNumberFormat="1" applyFont="1" applyFill="1" applyBorder="1" applyAlignment="1" applyProtection="1">
      <alignment vertical="center"/>
      <protection/>
    </xf>
    <xf numFmtId="165" fontId="4" fillId="27" borderId="15" xfId="0" applyNumberFormat="1" applyFont="1" applyFill="1" applyBorder="1" applyAlignment="1" applyProtection="1">
      <alignment vertical="center"/>
      <protection/>
    </xf>
    <xf numFmtId="165" fontId="4" fillId="27" borderId="17" xfId="0" applyNumberFormat="1" applyFont="1" applyFill="1" applyBorder="1" applyAlignment="1" applyProtection="1">
      <alignment vertical="center"/>
      <protection/>
    </xf>
    <xf numFmtId="165" fontId="6" fillId="27" borderId="15" xfId="0" applyNumberFormat="1" applyFont="1" applyFill="1" applyBorder="1" applyAlignment="1" applyProtection="1">
      <alignment vertical="center"/>
      <protection/>
    </xf>
    <xf numFmtId="165" fontId="6" fillId="27" borderId="17" xfId="0" applyNumberFormat="1" applyFont="1" applyFill="1" applyBorder="1" applyAlignment="1" applyProtection="1">
      <alignment vertical="center"/>
      <protection/>
    </xf>
    <xf numFmtId="165" fontId="6" fillId="25" borderId="27" xfId="0" applyNumberFormat="1" applyFont="1" applyFill="1" applyBorder="1" applyAlignment="1" applyProtection="1">
      <alignment vertical="center"/>
      <protection/>
    </xf>
    <xf numFmtId="167" fontId="6" fillId="20" borderId="15" xfId="0" applyNumberFormat="1" applyFont="1" applyFill="1" applyBorder="1" applyAlignment="1" applyProtection="1">
      <alignment vertical="center"/>
      <protection/>
    </xf>
    <xf numFmtId="167" fontId="6" fillId="20" borderId="17" xfId="0" applyNumberFormat="1" applyFont="1" applyFill="1" applyBorder="1" applyAlignment="1" applyProtection="1">
      <alignment vertical="center"/>
      <protection/>
    </xf>
    <xf numFmtId="164" fontId="9" fillId="0" borderId="0" xfId="0" applyFont="1" applyFill="1" applyBorder="1" applyAlignment="1" quotePrefix="1">
      <alignment horizontal="center"/>
    </xf>
    <xf numFmtId="165" fontId="14" fillId="19" borderId="32" xfId="0" applyNumberFormat="1" applyFont="1" applyFill="1" applyBorder="1" applyAlignment="1" applyProtection="1">
      <alignment vertical="center"/>
      <protection/>
    </xf>
    <xf numFmtId="165" fontId="14" fillId="19" borderId="20" xfId="0" applyNumberFormat="1" applyFont="1" applyFill="1" applyBorder="1" applyAlignment="1" applyProtection="1">
      <alignment vertical="center"/>
      <protection/>
    </xf>
    <xf numFmtId="165" fontId="14" fillId="28" borderId="31" xfId="0" applyNumberFormat="1" applyFont="1" applyFill="1" applyBorder="1" applyAlignment="1" applyProtection="1">
      <alignment/>
      <protection/>
    </xf>
    <xf numFmtId="166" fontId="4" fillId="0" borderId="10" xfId="0" applyNumberFormat="1" applyFont="1" applyFill="1" applyBorder="1" applyAlignment="1" applyProtection="1">
      <alignment vertical="center"/>
      <protection/>
    </xf>
    <xf numFmtId="164" fontId="0" fillId="11" borderId="0" xfId="0" applyFill="1" applyAlignment="1">
      <alignment/>
    </xf>
    <xf numFmtId="165" fontId="14" fillId="19" borderId="20" xfId="0" applyNumberFormat="1" applyFont="1" applyFill="1" applyBorder="1" applyAlignment="1" applyProtection="1">
      <alignment/>
      <protection/>
    </xf>
    <xf numFmtId="165" fontId="14" fillId="19" borderId="24" xfId="0" applyNumberFormat="1" applyFont="1" applyFill="1" applyBorder="1" applyAlignment="1" applyProtection="1">
      <alignment/>
      <protection/>
    </xf>
    <xf numFmtId="165" fontId="14" fillId="0" borderId="37" xfId="0" applyNumberFormat="1" applyFont="1" applyFill="1" applyBorder="1" applyAlignment="1" applyProtection="1">
      <alignment vertical="center"/>
      <protection/>
    </xf>
    <xf numFmtId="165" fontId="3" fillId="0" borderId="37" xfId="0" applyNumberFormat="1" applyFont="1" applyFill="1" applyBorder="1" applyAlignment="1" applyProtection="1">
      <alignment vertical="center"/>
      <protection/>
    </xf>
    <xf numFmtId="166" fontId="5" fillId="20" borderId="15" xfId="0" applyNumberFormat="1" applyFont="1" applyFill="1" applyBorder="1" applyAlignment="1" applyProtection="1">
      <alignment vertical="center"/>
      <protection/>
    </xf>
    <xf numFmtId="166" fontId="5" fillId="20" borderId="17" xfId="0" applyNumberFormat="1" applyFont="1" applyFill="1" applyBorder="1" applyAlignment="1" applyProtection="1">
      <alignment vertical="center"/>
      <protection/>
    </xf>
    <xf numFmtId="165" fontId="17" fillId="0" borderId="0" xfId="0" applyNumberFormat="1" applyFont="1" applyFill="1" applyBorder="1" applyAlignment="1" applyProtection="1">
      <alignment vertical="center"/>
      <protection/>
    </xf>
    <xf numFmtId="165" fontId="17" fillId="0" borderId="27" xfId="0" applyNumberFormat="1" applyFont="1" applyFill="1" applyBorder="1" applyAlignment="1" applyProtection="1">
      <alignment vertical="center"/>
      <protection/>
    </xf>
    <xf numFmtId="165" fontId="6" fillId="20" borderId="20" xfId="0" applyNumberFormat="1" applyFont="1" applyFill="1" applyBorder="1" applyAlignment="1" applyProtection="1">
      <alignment vertical="center"/>
      <protection/>
    </xf>
    <xf numFmtId="165" fontId="6" fillId="20" borderId="24" xfId="0" applyNumberFormat="1" applyFont="1" applyFill="1" applyBorder="1" applyAlignment="1" applyProtection="1">
      <alignment vertical="center"/>
      <protection/>
    </xf>
    <xf numFmtId="165" fontId="4" fillId="0" borderId="38" xfId="0" applyNumberFormat="1" applyFont="1" applyFill="1" applyBorder="1" applyAlignment="1" applyProtection="1">
      <alignment vertical="center"/>
      <protection/>
    </xf>
    <xf numFmtId="165" fontId="6" fillId="0" borderId="12" xfId="0" applyNumberFormat="1" applyFont="1" applyFill="1" applyBorder="1" applyAlignment="1" applyProtection="1">
      <alignment vertical="center"/>
      <protection/>
    </xf>
    <xf numFmtId="165" fontId="6" fillId="0" borderId="13" xfId="0" applyNumberFormat="1" applyFont="1" applyFill="1" applyBorder="1" applyAlignment="1" applyProtection="1">
      <alignment vertical="center"/>
      <protection/>
    </xf>
    <xf numFmtId="165" fontId="6" fillId="0" borderId="0" xfId="0" applyNumberFormat="1" applyFont="1" applyFill="1" applyBorder="1" applyAlignment="1" applyProtection="1">
      <alignment horizontal="center" vertical="center"/>
      <protection/>
    </xf>
    <xf numFmtId="165" fontId="6" fillId="0" borderId="27" xfId="0" applyNumberFormat="1" applyFont="1" applyFill="1" applyBorder="1" applyAlignment="1" applyProtection="1">
      <alignment horizontal="center" vertical="center"/>
      <protection/>
    </xf>
    <xf numFmtId="167" fontId="17" fillId="20" borderId="15" xfId="0" applyNumberFormat="1" applyFont="1" applyFill="1" applyBorder="1" applyAlignment="1" applyProtection="1">
      <alignment vertical="center"/>
      <protection/>
    </xf>
    <xf numFmtId="167" fontId="17" fillId="20" borderId="16" xfId="0" applyNumberFormat="1" applyFont="1" applyFill="1" applyBorder="1" applyAlignment="1" applyProtection="1">
      <alignment vertical="center"/>
      <protection/>
    </xf>
    <xf numFmtId="167" fontId="17" fillId="20" borderId="17" xfId="0" applyNumberFormat="1" applyFont="1" applyFill="1" applyBorder="1" applyAlignment="1" applyProtection="1">
      <alignment vertical="center"/>
      <protection/>
    </xf>
    <xf numFmtId="167" fontId="17" fillId="0" borderId="0" xfId="0" applyNumberFormat="1" applyFont="1" applyFill="1" applyBorder="1" applyAlignment="1" applyProtection="1">
      <alignment vertical="center"/>
      <protection/>
    </xf>
    <xf numFmtId="167" fontId="17" fillId="0" borderId="38" xfId="0" applyNumberFormat="1" applyFont="1" applyFill="1" applyBorder="1" applyAlignment="1" applyProtection="1">
      <alignment vertical="center"/>
      <protection/>
    </xf>
    <xf numFmtId="166" fontId="6" fillId="20" borderId="20" xfId="0" applyNumberFormat="1" applyFont="1" applyFill="1" applyBorder="1" applyAlignment="1" applyProtection="1">
      <alignment vertical="center"/>
      <protection/>
    </xf>
    <xf numFmtId="166" fontId="6" fillId="20" borderId="24" xfId="0" applyNumberFormat="1" applyFont="1" applyFill="1" applyBorder="1" applyAlignment="1" applyProtection="1">
      <alignment vertical="center"/>
      <protection/>
    </xf>
    <xf numFmtId="166" fontId="6" fillId="0" borderId="0" xfId="0" applyNumberFormat="1" applyFont="1" applyFill="1" applyBorder="1" applyAlignment="1" applyProtection="1">
      <alignment vertical="center"/>
      <protection/>
    </xf>
    <xf numFmtId="165" fontId="6" fillId="20" borderId="20" xfId="0" applyNumberFormat="1" applyFont="1" applyFill="1" applyBorder="1" applyAlignment="1" applyProtection="1">
      <alignment horizontal="center" vertical="center"/>
      <protection/>
    </xf>
    <xf numFmtId="165" fontId="6" fillId="20" borderId="24" xfId="0" applyNumberFormat="1" applyFont="1" applyFill="1" applyBorder="1" applyAlignment="1" applyProtection="1">
      <alignment horizontal="center" vertical="center"/>
      <protection/>
    </xf>
    <xf numFmtId="165" fontId="6" fillId="20" borderId="14" xfId="0" applyNumberFormat="1" applyFont="1" applyFill="1" applyBorder="1" applyAlignment="1" applyProtection="1">
      <alignment vertical="center"/>
      <protection/>
    </xf>
    <xf numFmtId="165" fontId="6" fillId="0" borderId="20" xfId="0" applyNumberFormat="1" applyFont="1" applyFill="1" applyBorder="1" applyAlignment="1" applyProtection="1">
      <alignment horizontal="center" vertical="center"/>
      <protection/>
    </xf>
    <xf numFmtId="165" fontId="17" fillId="20" borderId="14" xfId="0" applyNumberFormat="1" applyFont="1" applyFill="1" applyBorder="1" applyAlignment="1" applyProtection="1">
      <alignment vertical="center"/>
      <protection/>
    </xf>
    <xf numFmtId="166" fontId="17" fillId="20" borderId="14" xfId="0" applyNumberFormat="1" applyFont="1" applyFill="1" applyBorder="1" applyAlignment="1" applyProtection="1">
      <alignment vertical="center"/>
      <protection/>
    </xf>
    <xf numFmtId="165" fontId="6" fillId="0" borderId="0" xfId="0" applyNumberFormat="1" applyFont="1" applyFill="1" applyBorder="1" applyAlignment="1" applyProtection="1">
      <alignment vertical="center"/>
      <protection/>
    </xf>
    <xf numFmtId="165" fontId="4" fillId="20" borderId="39" xfId="0" applyNumberFormat="1" applyFont="1" applyFill="1" applyBorder="1" applyAlignment="1" applyProtection="1">
      <alignment vertical="center"/>
      <protection/>
    </xf>
    <xf numFmtId="165" fontId="14" fillId="0" borderId="39" xfId="0" applyNumberFormat="1" applyFont="1" applyFill="1" applyBorder="1" applyAlignment="1" applyProtection="1">
      <alignment vertical="center"/>
      <protection/>
    </xf>
    <xf numFmtId="165" fontId="14" fillId="0" borderId="40" xfId="0" applyNumberFormat="1" applyFont="1" applyFill="1" applyBorder="1" applyAlignment="1" applyProtection="1">
      <alignment vertical="center"/>
      <protection/>
    </xf>
    <xf numFmtId="165" fontId="14" fillId="0" borderId="41" xfId="0" applyNumberFormat="1" applyFont="1" applyFill="1" applyBorder="1" applyAlignment="1" applyProtection="1">
      <alignment vertical="center"/>
      <protection/>
    </xf>
    <xf numFmtId="165" fontId="14" fillId="0" borderId="42" xfId="0" applyNumberFormat="1" applyFont="1" applyFill="1" applyBorder="1" applyAlignment="1" applyProtection="1">
      <alignment vertical="center"/>
      <protection/>
    </xf>
    <xf numFmtId="165" fontId="6" fillId="20" borderId="14" xfId="0" applyNumberFormat="1" applyFont="1" applyFill="1" applyBorder="1" applyAlignment="1">
      <alignment vertical="center"/>
    </xf>
    <xf numFmtId="165" fontId="3" fillId="20" borderId="39" xfId="0" applyNumberFormat="1" applyFont="1" applyFill="1" applyBorder="1" applyAlignment="1" applyProtection="1">
      <alignment vertical="center"/>
      <protection/>
    </xf>
    <xf numFmtId="165" fontId="3" fillId="20" borderId="40" xfId="0" applyNumberFormat="1" applyFont="1" applyFill="1" applyBorder="1" applyAlignment="1" applyProtection="1">
      <alignment vertical="center"/>
      <protection/>
    </xf>
    <xf numFmtId="165" fontId="3" fillId="20" borderId="41" xfId="0" applyNumberFormat="1" applyFont="1" applyFill="1" applyBorder="1" applyAlignment="1" applyProtection="1">
      <alignment vertical="center"/>
      <protection/>
    </xf>
    <xf numFmtId="166" fontId="4" fillId="20" borderId="39" xfId="0" applyNumberFormat="1" applyFont="1" applyFill="1" applyBorder="1" applyAlignment="1" applyProtection="1">
      <alignment vertical="center"/>
      <protection/>
    </xf>
    <xf numFmtId="166" fontId="4" fillId="20" borderId="40" xfId="0" applyNumberFormat="1" applyFont="1" applyFill="1" applyBorder="1" applyAlignment="1" applyProtection="1">
      <alignment vertical="center"/>
      <protection/>
    </xf>
    <xf numFmtId="166" fontId="4" fillId="20" borderId="41" xfId="0" applyNumberFormat="1" applyFont="1" applyFill="1" applyBorder="1" applyAlignment="1" applyProtection="1">
      <alignment vertical="center"/>
      <protection/>
    </xf>
    <xf numFmtId="165" fontId="4" fillId="20" borderId="39" xfId="0" applyNumberFormat="1" applyFont="1" applyFill="1" applyBorder="1" applyAlignment="1" applyProtection="1">
      <alignment horizontal="center" vertical="center"/>
      <protection/>
    </xf>
    <xf numFmtId="165" fontId="4" fillId="20" borderId="40" xfId="0" applyNumberFormat="1" applyFont="1" applyFill="1" applyBorder="1" applyAlignment="1" applyProtection="1">
      <alignment horizontal="center" vertical="center"/>
      <protection/>
    </xf>
    <xf numFmtId="165" fontId="4" fillId="20" borderId="41" xfId="0" applyNumberFormat="1" applyFont="1" applyFill="1" applyBorder="1" applyAlignment="1" applyProtection="1">
      <alignment horizontal="center" vertical="center"/>
      <protection/>
    </xf>
    <xf numFmtId="165" fontId="14" fillId="20" borderId="39" xfId="0" applyNumberFormat="1" applyFont="1" applyFill="1" applyBorder="1" applyAlignment="1" applyProtection="1">
      <alignment vertical="center"/>
      <protection/>
    </xf>
    <xf numFmtId="165" fontId="14" fillId="20" borderId="40" xfId="0" applyNumberFormat="1" applyFont="1" applyFill="1" applyBorder="1" applyAlignment="1" applyProtection="1">
      <alignment vertical="center"/>
      <protection/>
    </xf>
    <xf numFmtId="165" fontId="14" fillId="20" borderId="41" xfId="0" applyNumberFormat="1" applyFont="1" applyFill="1" applyBorder="1" applyAlignment="1" applyProtection="1">
      <alignment vertical="center"/>
      <protection/>
    </xf>
    <xf numFmtId="165" fontId="3" fillId="23" borderId="39" xfId="0" applyNumberFormat="1" applyFont="1" applyFill="1" applyBorder="1" applyAlignment="1" applyProtection="1">
      <alignment vertical="center"/>
      <protection/>
    </xf>
    <xf numFmtId="165" fontId="3" fillId="23" borderId="40" xfId="0" applyNumberFormat="1" applyFont="1" applyFill="1" applyBorder="1" applyAlignment="1" applyProtection="1">
      <alignment vertical="center"/>
      <protection/>
    </xf>
    <xf numFmtId="165" fontId="3" fillId="23" borderId="41" xfId="0" applyNumberFormat="1" applyFont="1" applyFill="1" applyBorder="1" applyAlignment="1" applyProtection="1">
      <alignment vertical="center"/>
      <protection/>
    </xf>
    <xf numFmtId="166" fontId="4" fillId="0" borderId="43" xfId="0" applyNumberFormat="1" applyFont="1" applyFill="1" applyBorder="1" applyAlignment="1" applyProtection="1">
      <alignment vertical="center"/>
      <protection/>
    </xf>
    <xf numFmtId="165" fontId="4" fillId="20" borderId="40" xfId="0" applyNumberFormat="1" applyFont="1" applyFill="1" applyBorder="1" applyAlignment="1" applyProtection="1">
      <alignment vertical="center"/>
      <protection/>
    </xf>
    <xf numFmtId="165" fontId="4" fillId="20" borderId="41" xfId="0" applyNumberFormat="1" applyFont="1" applyFill="1" applyBorder="1" applyAlignment="1" applyProtection="1">
      <alignment vertical="center"/>
      <protection/>
    </xf>
    <xf numFmtId="164" fontId="6" fillId="0" borderId="0" xfId="0" applyFont="1" applyAlignment="1">
      <alignment horizontal="left" indent="1"/>
    </xf>
    <xf numFmtId="164" fontId="0" fillId="0" borderId="0" xfId="0" applyFill="1" applyAlignment="1">
      <alignment/>
    </xf>
    <xf numFmtId="165" fontId="6" fillId="0" borderId="27" xfId="0" applyNumberFormat="1" applyFont="1" applyFill="1" applyBorder="1" applyAlignment="1" applyProtection="1">
      <alignment vertical="center"/>
      <protection/>
    </xf>
    <xf numFmtId="164" fontId="11" fillId="0" borderId="0" xfId="0" applyFont="1" applyFill="1" applyBorder="1" applyAlignment="1">
      <alignment horizontal="center" vertical="center"/>
    </xf>
    <xf numFmtId="165" fontId="6" fillId="0" borderId="20" xfId="0" applyNumberFormat="1" applyFont="1" applyFill="1" applyBorder="1" applyAlignment="1" applyProtection="1">
      <alignment vertical="center"/>
      <protection/>
    </xf>
    <xf numFmtId="167" fontId="6" fillId="0" borderId="20" xfId="0" applyNumberFormat="1" applyFont="1" applyFill="1" applyBorder="1" applyAlignment="1" applyProtection="1">
      <alignment vertical="center"/>
      <protection/>
    </xf>
    <xf numFmtId="165" fontId="3" fillId="0" borderId="20" xfId="0" applyNumberFormat="1" applyFont="1" applyFill="1" applyBorder="1" applyAlignment="1" applyProtection="1">
      <alignment vertical="center"/>
      <protection/>
    </xf>
    <xf numFmtId="165" fontId="14" fillId="0" borderId="20" xfId="0" applyNumberFormat="1" applyFont="1" applyFill="1" applyBorder="1" applyAlignment="1" applyProtection="1">
      <alignment vertical="center"/>
      <protection/>
    </xf>
    <xf numFmtId="164" fontId="11" fillId="0" borderId="0" xfId="0" applyFont="1" applyFill="1" applyBorder="1" applyAlignment="1">
      <alignment horizontal="right" vertical="center"/>
    </xf>
    <xf numFmtId="167" fontId="4" fillId="20" borderId="14" xfId="0" applyNumberFormat="1" applyFont="1" applyFill="1" applyBorder="1" applyAlignment="1">
      <alignment vertical="center"/>
    </xf>
    <xf numFmtId="165" fontId="4" fillId="29" borderId="0" xfId="0" applyNumberFormat="1" applyFont="1" applyFill="1" applyBorder="1" applyAlignment="1" applyProtection="1">
      <alignment vertical="center"/>
      <protection/>
    </xf>
    <xf numFmtId="165" fontId="4" fillId="29" borderId="19" xfId="0" applyNumberFormat="1" applyFont="1" applyFill="1" applyBorder="1" applyAlignment="1" applyProtection="1">
      <alignment vertical="center"/>
      <protection/>
    </xf>
    <xf numFmtId="165" fontId="4" fillId="29" borderId="21" xfId="0" applyNumberFormat="1" applyFont="1" applyFill="1" applyBorder="1" applyAlignment="1" applyProtection="1">
      <alignment vertical="center"/>
      <protection/>
    </xf>
    <xf numFmtId="165" fontId="4" fillId="29" borderId="26" xfId="0" applyNumberFormat="1" applyFont="1" applyFill="1" applyBorder="1" applyAlignment="1" applyProtection="1">
      <alignment vertical="center"/>
      <protection/>
    </xf>
    <xf numFmtId="164" fontId="14" fillId="0" borderId="0" xfId="0" applyFont="1" applyFill="1" applyBorder="1" applyAlignment="1">
      <alignment horizontal="left"/>
    </xf>
    <xf numFmtId="165" fontId="4" fillId="0" borderId="44" xfId="0" applyNumberFormat="1" applyFont="1" applyFill="1" applyBorder="1" applyAlignment="1" applyProtection="1">
      <alignment vertical="center"/>
      <protection/>
    </xf>
    <xf numFmtId="164" fontId="0" fillId="0" borderId="0" xfId="0" applyAlignment="1">
      <alignment vertical="center"/>
    </xf>
    <xf numFmtId="164" fontId="0" fillId="20" borderId="0" xfId="0" applyFill="1" applyAlignment="1">
      <alignment vertical="center"/>
    </xf>
    <xf numFmtId="164" fontId="0" fillId="0" borderId="0" xfId="0" applyFill="1" applyAlignment="1">
      <alignment vertical="center"/>
    </xf>
    <xf numFmtId="164" fontId="6" fillId="0" borderId="0" xfId="0" applyFont="1" applyFill="1" applyBorder="1" applyAlignment="1">
      <alignment horizontal="center" vertical="center" wrapText="1"/>
    </xf>
    <xf numFmtId="164" fontId="0" fillId="20" borderId="14" xfId="0" applyFill="1" applyBorder="1" applyAlignment="1">
      <alignment vertical="center"/>
    </xf>
    <xf numFmtId="165" fontId="17" fillId="0" borderId="45" xfId="0" applyNumberFormat="1" applyFont="1" applyFill="1" applyBorder="1" applyAlignment="1" applyProtection="1">
      <alignment vertical="center"/>
      <protection/>
    </xf>
    <xf numFmtId="165" fontId="4" fillId="0" borderId="39" xfId="0" applyNumberFormat="1" applyFont="1" applyFill="1" applyBorder="1" applyAlignment="1" applyProtection="1">
      <alignment horizontal="center" vertical="center"/>
      <protection/>
    </xf>
    <xf numFmtId="165" fontId="17" fillId="0" borderId="20" xfId="0" applyNumberFormat="1" applyFont="1" applyFill="1" applyBorder="1" applyAlignment="1" applyProtection="1">
      <alignment vertical="center"/>
      <protection/>
    </xf>
    <xf numFmtId="165" fontId="4" fillId="0" borderId="40" xfId="0" applyNumberFormat="1" applyFont="1" applyFill="1" applyBorder="1" applyAlignment="1" applyProtection="1">
      <alignment horizontal="center" vertical="center"/>
      <protection/>
    </xf>
    <xf numFmtId="165" fontId="17" fillId="0" borderId="46" xfId="0" applyNumberFormat="1" applyFont="1" applyFill="1" applyBorder="1" applyAlignment="1" applyProtection="1">
      <alignment vertical="center"/>
      <protection/>
    </xf>
    <xf numFmtId="165" fontId="4" fillId="0" borderId="41" xfId="0" applyNumberFormat="1" applyFont="1" applyFill="1" applyBorder="1" applyAlignment="1" applyProtection="1">
      <alignment horizontal="center" vertical="center"/>
      <protection/>
    </xf>
    <xf numFmtId="166" fontId="4" fillId="22" borderId="47" xfId="0" applyNumberFormat="1" applyFont="1" applyFill="1" applyBorder="1" applyAlignment="1" applyProtection="1">
      <alignment horizontal="center" vertical="center"/>
      <protection/>
    </xf>
    <xf numFmtId="166" fontId="4" fillId="22" borderId="48" xfId="0" applyNumberFormat="1" applyFont="1" applyFill="1" applyBorder="1" applyAlignment="1" applyProtection="1">
      <alignment horizontal="center" vertical="center"/>
      <protection/>
    </xf>
    <xf numFmtId="166" fontId="4" fillId="22" borderId="49" xfId="0" applyNumberFormat="1" applyFont="1" applyFill="1" applyBorder="1" applyAlignment="1" applyProtection="1">
      <alignment horizontal="center" vertical="center"/>
      <protection/>
    </xf>
    <xf numFmtId="165" fontId="14" fillId="0" borderId="24" xfId="0" applyNumberFormat="1" applyFont="1" applyFill="1" applyBorder="1" applyAlignment="1" applyProtection="1">
      <alignment vertical="center"/>
      <protection/>
    </xf>
    <xf numFmtId="165" fontId="6" fillId="0" borderId="24" xfId="0" applyNumberFormat="1" applyFont="1" applyFill="1" applyBorder="1" applyAlignment="1" applyProtection="1">
      <alignment vertical="center"/>
      <protection/>
    </xf>
    <xf numFmtId="165" fontId="6" fillId="0" borderId="24" xfId="0" applyNumberFormat="1" applyFont="1" applyFill="1" applyBorder="1" applyAlignment="1" applyProtection="1">
      <alignment horizontal="center" vertical="center"/>
      <protection/>
    </xf>
    <xf numFmtId="164" fontId="18" fillId="0" borderId="0" xfId="0" applyFont="1" applyFill="1" applyBorder="1" applyAlignment="1">
      <alignment horizontal="center" vertical="center"/>
    </xf>
    <xf numFmtId="165" fontId="17" fillId="0" borderId="50" xfId="0" applyNumberFormat="1" applyFont="1" applyFill="1" applyBorder="1" applyAlignment="1" applyProtection="1">
      <alignment vertical="center"/>
      <protection/>
    </xf>
    <xf numFmtId="165" fontId="17" fillId="0" borderId="51" xfId="0" applyNumberFormat="1" applyFont="1" applyFill="1" applyBorder="1" applyAlignment="1" applyProtection="1">
      <alignment vertical="center"/>
      <protection/>
    </xf>
    <xf numFmtId="165" fontId="17" fillId="0" borderId="52" xfId="0" applyNumberFormat="1" applyFont="1" applyFill="1" applyBorder="1" applyAlignment="1" applyProtection="1">
      <alignment vertical="center"/>
      <protection/>
    </xf>
    <xf numFmtId="165" fontId="17" fillId="0" borderId="33" xfId="0" applyNumberFormat="1" applyFont="1" applyFill="1" applyBorder="1" applyAlignment="1" applyProtection="1">
      <alignment vertical="center"/>
      <protection/>
    </xf>
    <xf numFmtId="165" fontId="17" fillId="0" borderId="24" xfId="0" applyNumberFormat="1" applyFont="1" applyFill="1" applyBorder="1" applyAlignment="1" applyProtection="1">
      <alignment vertical="center"/>
      <protection/>
    </xf>
    <xf numFmtId="164" fontId="6" fillId="20" borderId="0" xfId="0" applyFont="1" applyFill="1" applyAlignment="1">
      <alignment horizontal="right" vertical="center"/>
    </xf>
    <xf numFmtId="168" fontId="4" fillId="20" borderId="0" xfId="0" applyNumberFormat="1" applyFont="1" applyFill="1" applyAlignment="1">
      <alignment horizontal="left" vertical="center"/>
    </xf>
    <xf numFmtId="164" fontId="18" fillId="0" borderId="0" xfId="58" applyFont="1" applyFill="1" applyBorder="1" applyAlignment="1" quotePrefix="1">
      <alignment horizontal="center" vertical="center"/>
      <protection/>
    </xf>
    <xf numFmtId="169" fontId="4" fillId="20" borderId="0" xfId="0" applyNumberFormat="1" applyFont="1" applyFill="1" applyAlignment="1">
      <alignment horizontal="left" vertical="center"/>
    </xf>
    <xf numFmtId="170" fontId="4" fillId="20" borderId="0" xfId="0" applyNumberFormat="1" applyFont="1" applyFill="1" applyAlignment="1">
      <alignment horizontal="left" vertical="center"/>
    </xf>
    <xf numFmtId="166" fontId="4" fillId="0" borderId="39" xfId="0" applyNumberFormat="1" applyFont="1" applyFill="1" applyBorder="1" applyAlignment="1" applyProtection="1">
      <alignment vertical="center"/>
      <protection/>
    </xf>
    <xf numFmtId="166" fontId="17" fillId="0" borderId="39" xfId="0" applyNumberFormat="1" applyFont="1" applyFill="1" applyBorder="1" applyAlignment="1" applyProtection="1">
      <alignment vertical="center"/>
      <protection/>
    </xf>
    <xf numFmtId="166" fontId="4" fillId="0" borderId="40" xfId="0" applyNumberFormat="1" applyFont="1" applyFill="1" applyBorder="1" applyAlignment="1" applyProtection="1">
      <alignment vertical="center"/>
      <protection/>
    </xf>
    <xf numFmtId="166" fontId="17" fillId="0" borderId="40" xfId="0" applyNumberFormat="1" applyFont="1" applyFill="1" applyBorder="1" applyAlignment="1" applyProtection="1">
      <alignment vertical="center"/>
      <protection/>
    </xf>
    <xf numFmtId="166" fontId="4" fillId="0" borderId="41" xfId="0" applyNumberFormat="1" applyFont="1" applyFill="1" applyBorder="1" applyAlignment="1" applyProtection="1">
      <alignment vertical="center"/>
      <protection/>
    </xf>
    <xf numFmtId="166" fontId="17" fillId="0" borderId="41" xfId="0" applyNumberFormat="1" applyFont="1" applyFill="1" applyBorder="1" applyAlignment="1" applyProtection="1">
      <alignment vertical="center"/>
      <protection/>
    </xf>
    <xf numFmtId="166" fontId="6" fillId="0" borderId="20" xfId="0" applyNumberFormat="1" applyFont="1" applyFill="1" applyBorder="1" applyAlignment="1" applyProtection="1">
      <alignment vertical="center"/>
      <protection/>
    </xf>
    <xf numFmtId="166" fontId="6" fillId="0" borderId="24" xfId="0" applyNumberFormat="1" applyFont="1" applyFill="1" applyBorder="1" applyAlignment="1" applyProtection="1">
      <alignment vertical="center"/>
      <protection/>
    </xf>
    <xf numFmtId="164" fontId="0" fillId="0" borderId="26" xfId="0" applyBorder="1" applyAlignment="1">
      <alignment vertical="center"/>
    </xf>
    <xf numFmtId="173" fontId="6" fillId="0" borderId="27" xfId="0" applyNumberFormat="1" applyFont="1" applyBorder="1" applyAlignment="1">
      <alignment vertical="center"/>
    </xf>
    <xf numFmtId="165" fontId="3" fillId="0" borderId="39" xfId="0" applyNumberFormat="1" applyFont="1" applyFill="1" applyBorder="1" applyAlignment="1" applyProtection="1">
      <alignment vertical="center"/>
      <protection/>
    </xf>
    <xf numFmtId="165" fontId="3" fillId="0" borderId="40" xfId="0" applyNumberFormat="1" applyFont="1" applyFill="1" applyBorder="1" applyAlignment="1" applyProtection="1">
      <alignment vertical="center"/>
      <protection/>
    </xf>
    <xf numFmtId="165" fontId="3" fillId="0" borderId="41" xfId="0" applyNumberFormat="1" applyFont="1" applyFill="1" applyBorder="1" applyAlignment="1" applyProtection="1">
      <alignment vertical="center"/>
      <protection/>
    </xf>
    <xf numFmtId="165" fontId="3" fillId="0" borderId="24" xfId="0" applyNumberFormat="1" applyFont="1" applyFill="1" applyBorder="1" applyAlignment="1" applyProtection="1">
      <alignment vertical="center"/>
      <protection/>
    </xf>
    <xf numFmtId="164" fontId="10" fillId="0" borderId="0" xfId="0" applyFont="1" applyFill="1" applyBorder="1" applyAlignment="1">
      <alignment horizontal="right" vertical="center"/>
    </xf>
    <xf numFmtId="164" fontId="3" fillId="0" borderId="0" xfId="0" applyFont="1" applyFill="1" applyBorder="1" applyAlignment="1">
      <alignment horizontal="center" vertical="center"/>
    </xf>
    <xf numFmtId="167" fontId="6" fillId="0" borderId="24" xfId="0" applyNumberFormat="1" applyFont="1" applyFill="1" applyBorder="1" applyAlignment="1" applyProtection="1">
      <alignment vertical="center"/>
      <protection/>
    </xf>
    <xf numFmtId="167" fontId="4" fillId="0" borderId="39" xfId="0" applyNumberFormat="1" applyFont="1" applyFill="1" applyBorder="1" applyAlignment="1" applyProtection="1">
      <alignment vertical="center"/>
      <protection/>
    </xf>
    <xf numFmtId="167" fontId="4" fillId="0" borderId="40" xfId="0" applyNumberFormat="1" applyFont="1" applyFill="1" applyBorder="1" applyAlignment="1" applyProtection="1">
      <alignment vertical="center"/>
      <protection/>
    </xf>
    <xf numFmtId="167" fontId="4" fillId="0" borderId="41" xfId="0" applyNumberFormat="1" applyFont="1" applyFill="1" applyBorder="1" applyAlignment="1" applyProtection="1">
      <alignment vertical="center"/>
      <protection/>
    </xf>
    <xf numFmtId="165" fontId="14" fillId="8" borderId="20" xfId="0" applyNumberFormat="1" applyFont="1" applyFill="1" applyBorder="1" applyAlignment="1" applyProtection="1">
      <alignment vertical="center"/>
      <protection/>
    </xf>
    <xf numFmtId="166" fontId="4" fillId="0" borderId="20" xfId="0" applyNumberFormat="1" applyFont="1" applyFill="1" applyBorder="1" applyAlignment="1" applyProtection="1">
      <alignment vertical="center"/>
      <protection/>
    </xf>
    <xf numFmtId="165" fontId="14" fillId="8" borderId="24" xfId="0" applyNumberFormat="1" applyFont="1" applyFill="1" applyBorder="1" applyAlignment="1" applyProtection="1">
      <alignment vertical="center"/>
      <protection/>
    </xf>
    <xf numFmtId="166" fontId="4" fillId="0" borderId="24" xfId="0" applyNumberFormat="1" applyFont="1" applyFill="1" applyBorder="1" applyAlignment="1" applyProtection="1">
      <alignment vertical="center"/>
      <protection/>
    </xf>
    <xf numFmtId="164" fontId="0" fillId="0" borderId="26" xfId="0" applyFont="1" applyBorder="1" applyAlignment="1">
      <alignment vertical="center"/>
    </xf>
    <xf numFmtId="164" fontId="0" fillId="11" borderId="0" xfId="0" applyFill="1" applyAlignment="1">
      <alignment vertical="center"/>
    </xf>
    <xf numFmtId="165" fontId="14" fillId="19" borderId="24" xfId="0" applyNumberFormat="1" applyFont="1" applyFill="1" applyBorder="1" applyAlignment="1" applyProtection="1">
      <alignment vertical="center"/>
      <protection/>
    </xf>
    <xf numFmtId="164" fontId="14" fillId="0" borderId="0" xfId="0" applyFont="1" applyFill="1" applyBorder="1" applyAlignment="1">
      <alignment horizontal="left" vertical="center"/>
    </xf>
    <xf numFmtId="166" fontId="4" fillId="21" borderId="11" xfId="0" applyNumberFormat="1" applyFont="1" applyFill="1" applyBorder="1" applyAlignment="1" applyProtection="1">
      <alignment vertical="center"/>
      <protection/>
    </xf>
    <xf numFmtId="164" fontId="43" fillId="0" borderId="0" xfId="65" applyAlignment="1">
      <alignment vertical="center"/>
      <protection/>
    </xf>
    <xf numFmtId="164" fontId="22" fillId="0" borderId="0" xfId="0" applyFont="1" applyAlignment="1" quotePrefix="1">
      <alignment horizontal="center"/>
    </xf>
    <xf numFmtId="164" fontId="13" fillId="0" borderId="0" xfId="65" applyFont="1" applyAlignment="1">
      <alignment vertical="center"/>
      <protection/>
    </xf>
    <xf numFmtId="164" fontId="63" fillId="0" borderId="0" xfId="65" applyFont="1" applyAlignment="1">
      <alignment vertical="center"/>
      <protection/>
    </xf>
    <xf numFmtId="164" fontId="0" fillId="0" borderId="0" xfId="0" applyFill="1" applyBorder="1" applyAlignment="1">
      <alignment vertical="center"/>
    </xf>
    <xf numFmtId="165" fontId="6" fillId="0" borderId="0" xfId="0" applyNumberFormat="1" applyFont="1" applyFill="1" applyBorder="1" applyAlignment="1">
      <alignment vertical="center"/>
    </xf>
    <xf numFmtId="164" fontId="0" fillId="0" borderId="0" xfId="0" applyAlignment="1">
      <alignment horizontal="center" vertical="center"/>
    </xf>
    <xf numFmtId="164" fontId="9" fillId="0" borderId="0" xfId="58" applyFont="1" applyFill="1" applyBorder="1" applyAlignment="1">
      <alignment horizontal="center"/>
      <protection/>
    </xf>
    <xf numFmtId="165" fontId="6" fillId="0" borderId="53" xfId="0" applyNumberFormat="1" applyFont="1" applyFill="1" applyBorder="1" applyAlignment="1" applyProtection="1">
      <alignment vertical="center"/>
      <protection/>
    </xf>
    <xf numFmtId="165" fontId="6" fillId="0" borderId="44" xfId="0" applyNumberFormat="1" applyFont="1" applyFill="1" applyBorder="1" applyAlignment="1" applyProtection="1">
      <alignment vertical="center"/>
      <protection/>
    </xf>
    <xf numFmtId="164" fontId="6" fillId="0" borderId="0" xfId="60" applyFont="1" applyFill="1" applyBorder="1" applyAlignment="1">
      <alignment horizontal="left" vertical="center"/>
      <protection/>
    </xf>
    <xf numFmtId="164" fontId="14" fillId="0" borderId="0" xfId="60" applyFont="1" applyFill="1" applyBorder="1" applyAlignment="1">
      <alignment horizontal="right" vertical="center" indent="1"/>
      <protection/>
    </xf>
    <xf numFmtId="164" fontId="0" fillId="0" borderId="0" xfId="60" applyAlignment="1">
      <alignment vertical="center"/>
      <protection/>
    </xf>
    <xf numFmtId="164" fontId="14" fillId="0" borderId="0" xfId="60" applyFont="1" applyFill="1" applyBorder="1" applyAlignment="1">
      <alignment horizontal="right" vertical="center"/>
      <protection/>
    </xf>
    <xf numFmtId="164" fontId="6" fillId="0" borderId="0" xfId="65" applyFont="1" applyFill="1" applyBorder="1" applyAlignment="1" quotePrefix="1">
      <alignment horizontal="left" vertical="center"/>
      <protection/>
    </xf>
    <xf numFmtId="164" fontId="0" fillId="0" borderId="0" xfId="0" applyAlignment="1">
      <alignment horizontal="right" vertical="center"/>
    </xf>
    <xf numFmtId="164" fontId="6" fillId="0" borderId="0" xfId="59" applyFont="1" applyFill="1" applyBorder="1" applyAlignment="1">
      <alignment horizontal="right" vertical="center"/>
      <protection/>
    </xf>
    <xf numFmtId="165" fontId="14" fillId="11" borderId="54" xfId="0" applyNumberFormat="1" applyFont="1" applyFill="1" applyBorder="1" applyAlignment="1" applyProtection="1">
      <alignment vertical="center"/>
      <protection/>
    </xf>
    <xf numFmtId="164" fontId="44" fillId="0" borderId="0" xfId="0" applyFont="1" applyFill="1" applyBorder="1" applyAlignment="1">
      <alignment horizontal="center" vertical="center"/>
    </xf>
    <xf numFmtId="165" fontId="4" fillId="24" borderId="55" xfId="0" applyNumberFormat="1" applyFont="1" applyFill="1" applyBorder="1" applyAlignment="1" applyProtection="1">
      <alignment vertical="center"/>
      <protection/>
    </xf>
    <xf numFmtId="165" fontId="17" fillId="30" borderId="15" xfId="0" applyNumberFormat="1" applyFont="1" applyFill="1" applyBorder="1" applyAlignment="1" applyProtection="1">
      <alignment vertical="center"/>
      <protection/>
    </xf>
    <xf numFmtId="165" fontId="17" fillId="30" borderId="16" xfId="0" applyNumberFormat="1" applyFont="1" applyFill="1" applyBorder="1" applyAlignment="1" applyProtection="1">
      <alignment vertical="center"/>
      <protection/>
    </xf>
    <xf numFmtId="165" fontId="17" fillId="30" borderId="17" xfId="0" applyNumberFormat="1" applyFont="1" applyFill="1" applyBorder="1" applyAlignment="1" applyProtection="1">
      <alignment vertical="center"/>
      <protection/>
    </xf>
    <xf numFmtId="165" fontId="6" fillId="30" borderId="10" xfId="0" applyNumberFormat="1" applyFont="1" applyFill="1" applyBorder="1" applyAlignment="1" applyProtection="1">
      <alignment vertical="center"/>
      <protection/>
    </xf>
    <xf numFmtId="166" fontId="4" fillId="20" borderId="10" xfId="0" applyNumberFormat="1" applyFont="1" applyFill="1" applyBorder="1" applyAlignment="1">
      <alignment vertical="center"/>
    </xf>
    <xf numFmtId="165" fontId="16" fillId="0" borderId="0" xfId="0" applyNumberFormat="1" applyFont="1" applyFill="1" applyBorder="1" applyAlignment="1" applyProtection="1">
      <alignment horizontal="right" vertical="center" indent="3"/>
      <protection/>
    </xf>
    <xf numFmtId="164" fontId="32" fillId="0" borderId="0" xfId="0" applyFont="1" applyAlignment="1" quotePrefix="1">
      <alignment horizontal="center"/>
    </xf>
    <xf numFmtId="164" fontId="14" fillId="0" borderId="0" xfId="0" applyFont="1" applyFill="1" applyBorder="1" applyAlignment="1">
      <alignment horizontal="center" vertical="center"/>
    </xf>
    <xf numFmtId="164" fontId="6" fillId="0" borderId="0" xfId="0" applyFont="1" applyFill="1" applyBorder="1" applyAlignment="1" quotePrefix="1">
      <alignment horizontal="right" vertical="center"/>
    </xf>
    <xf numFmtId="164" fontId="45" fillId="0" borderId="0" xfId="0" applyFont="1" applyFill="1" applyBorder="1" applyAlignment="1" quotePrefix="1">
      <alignment horizontal="center" vertical="center"/>
    </xf>
    <xf numFmtId="164" fontId="64" fillId="0" borderId="0" xfId="0" applyFont="1" applyFill="1" applyBorder="1" applyAlignment="1">
      <alignment horizontal="center"/>
    </xf>
    <xf numFmtId="164" fontId="18" fillId="0" borderId="0" xfId="0" applyFont="1" applyFill="1" applyBorder="1" applyAlignment="1" quotePrefix="1">
      <alignment horizontal="left"/>
    </xf>
    <xf numFmtId="164" fontId="65" fillId="0" borderId="0" xfId="0" applyFont="1" applyAlignment="1">
      <alignment horizontal="center" vertical="center"/>
    </xf>
    <xf numFmtId="164" fontId="11" fillId="0" borderId="0" xfId="60" applyFont="1" applyFill="1" applyBorder="1" applyAlignment="1" quotePrefix="1">
      <alignment horizontal="center" vertical="center"/>
      <protection/>
    </xf>
    <xf numFmtId="165" fontId="4" fillId="31" borderId="31" xfId="0" applyNumberFormat="1" applyFont="1" applyFill="1" applyBorder="1" applyAlignment="1" applyProtection="1">
      <alignment vertical="center"/>
      <protection/>
    </xf>
    <xf numFmtId="165" fontId="4" fillId="20" borderId="46" xfId="0" applyNumberFormat="1" applyFont="1" applyFill="1" applyBorder="1" applyAlignment="1" applyProtection="1">
      <alignment vertical="center"/>
      <protection/>
    </xf>
    <xf numFmtId="165" fontId="14" fillId="10" borderId="54" xfId="0" applyNumberFormat="1" applyFont="1" applyFill="1" applyBorder="1" applyAlignment="1" applyProtection="1">
      <alignment vertical="center"/>
      <protection/>
    </xf>
    <xf numFmtId="165" fontId="3" fillId="23" borderId="46" xfId="0" applyNumberFormat="1" applyFont="1" applyFill="1" applyBorder="1" applyAlignment="1" applyProtection="1">
      <alignment vertical="center"/>
      <protection/>
    </xf>
    <xf numFmtId="11" fontId="4" fillId="20" borderId="14" xfId="0" applyNumberFormat="1" applyFont="1" applyFill="1" applyBorder="1" applyAlignment="1">
      <alignment vertical="center"/>
    </xf>
    <xf numFmtId="11" fontId="4" fillId="0" borderId="39" xfId="0" applyNumberFormat="1" applyFont="1" applyFill="1" applyBorder="1" applyAlignment="1" applyProtection="1">
      <alignment vertical="center"/>
      <protection/>
    </xf>
    <xf numFmtId="11" fontId="4" fillId="0" borderId="40" xfId="0" applyNumberFormat="1" applyFont="1" applyFill="1" applyBorder="1" applyAlignment="1" applyProtection="1">
      <alignment vertical="center"/>
      <protection/>
    </xf>
    <xf numFmtId="11" fontId="4" fillId="0" borderId="41" xfId="0" applyNumberFormat="1" applyFont="1" applyFill="1" applyBorder="1" applyAlignment="1" applyProtection="1">
      <alignment vertical="center"/>
      <protection/>
    </xf>
    <xf numFmtId="11" fontId="6" fillId="0" borderId="20" xfId="0" applyNumberFormat="1" applyFont="1" applyFill="1" applyBorder="1" applyAlignment="1" applyProtection="1">
      <alignment vertical="center"/>
      <protection/>
    </xf>
    <xf numFmtId="11" fontId="6" fillId="0" borderId="24" xfId="0" applyNumberFormat="1" applyFont="1" applyFill="1" applyBorder="1" applyAlignment="1" applyProtection="1">
      <alignment vertical="center"/>
      <protection/>
    </xf>
    <xf numFmtId="164" fontId="6" fillId="0" borderId="0" xfId="60" applyFont="1" applyFill="1" applyBorder="1" applyAlignment="1">
      <alignment horizontal="right" vertical="center" indent="1"/>
      <protection/>
    </xf>
    <xf numFmtId="164" fontId="67" fillId="0" borderId="0" xfId="65" applyFont="1" applyAlignment="1">
      <alignment horizontal="center"/>
      <protection/>
    </xf>
    <xf numFmtId="164" fontId="4" fillId="0" borderId="0" xfId="65" applyFont="1" applyFill="1" applyBorder="1" applyAlignment="1" quotePrefix="1">
      <alignment horizontal="center" vertical="center"/>
      <protection/>
    </xf>
    <xf numFmtId="165" fontId="14" fillId="20" borderId="31" xfId="0" applyNumberFormat="1" applyFont="1" applyFill="1" applyBorder="1" applyAlignment="1" applyProtection="1">
      <alignment vertical="center"/>
      <protection/>
    </xf>
    <xf numFmtId="165" fontId="14" fillId="0" borderId="14" xfId="0" applyNumberFormat="1" applyFont="1" applyFill="1" applyBorder="1" applyAlignment="1" applyProtection="1">
      <alignment vertical="center"/>
      <protection/>
    </xf>
    <xf numFmtId="165" fontId="14" fillId="0" borderId="32" xfId="0" applyNumberFormat="1" applyFont="1" applyFill="1" applyBorder="1" applyAlignment="1" applyProtection="1">
      <alignment vertical="center"/>
      <protection/>
    </xf>
    <xf numFmtId="166" fontId="17" fillId="0" borderId="0" xfId="0" applyNumberFormat="1" applyFont="1" applyFill="1" applyBorder="1" applyAlignment="1" applyProtection="1">
      <alignment vertical="center"/>
      <protection/>
    </xf>
    <xf numFmtId="11" fontId="4" fillId="0" borderId="0" xfId="0" applyNumberFormat="1" applyFont="1" applyFill="1" applyBorder="1" applyAlignment="1" applyProtection="1">
      <alignment vertical="center"/>
      <protection/>
    </xf>
    <xf numFmtId="11" fontId="6" fillId="0" borderId="0" xfId="0" applyNumberFormat="1" applyFont="1" applyFill="1" applyBorder="1" applyAlignment="1" applyProtection="1">
      <alignment vertical="center"/>
      <protection/>
    </xf>
    <xf numFmtId="11" fontId="4" fillId="0" borderId="0" xfId="0" applyNumberFormat="1" applyFont="1" applyFill="1" applyBorder="1" applyAlignment="1">
      <alignment vertical="center"/>
    </xf>
    <xf numFmtId="164" fontId="43" fillId="0" borderId="0" xfId="64" applyAlignment="1">
      <alignment vertical="center"/>
      <protection/>
    </xf>
    <xf numFmtId="164" fontId="6" fillId="0" borderId="0" xfId="59" applyFont="1" applyFill="1" applyBorder="1" applyAlignment="1">
      <alignment horizontal="right" vertical="center" indent="1"/>
      <protection/>
    </xf>
    <xf numFmtId="164" fontId="6" fillId="0" borderId="0" xfId="0" applyFont="1" applyFill="1" applyBorder="1" applyAlignment="1" quotePrefix="1">
      <alignment horizontal="right" vertical="center" indent="1"/>
    </xf>
    <xf numFmtId="164" fontId="28" fillId="0" borderId="0" xfId="0" applyFont="1" applyFill="1" applyBorder="1" applyAlignment="1" quotePrefix="1">
      <alignment horizontal="center" vertical="center"/>
    </xf>
    <xf numFmtId="164" fontId="6" fillId="0" borderId="0" xfId="61" applyFont="1" applyFill="1" applyBorder="1" applyAlignment="1">
      <alignment horizontal="right" vertical="center" indent="1"/>
      <protection/>
    </xf>
    <xf numFmtId="164" fontId="17" fillId="0" borderId="0" xfId="61" applyFont="1" applyFill="1" applyBorder="1" applyAlignment="1">
      <alignment horizontal="right" vertical="center" indent="1"/>
      <protection/>
    </xf>
    <xf numFmtId="164" fontId="43" fillId="0" borderId="0" xfId="64" applyAlignment="1">
      <alignment/>
      <protection/>
    </xf>
    <xf numFmtId="164" fontId="70" fillId="0" borderId="0" xfId="60" applyFont="1" applyAlignment="1">
      <alignment vertical="center"/>
      <protection/>
    </xf>
    <xf numFmtId="164" fontId="3" fillId="0" borderId="0" xfId="60" applyFont="1" applyAlignment="1" quotePrefix="1">
      <alignment horizontal="left" vertical="center"/>
      <protection/>
    </xf>
    <xf numFmtId="164" fontId="6" fillId="0" borderId="0" xfId="61" applyFont="1" applyFill="1" applyBorder="1" applyAlignment="1" quotePrefix="1">
      <alignment horizontal="left" vertical="center"/>
      <protection/>
    </xf>
    <xf numFmtId="164" fontId="7" fillId="0" borderId="0" xfId="61" applyFont="1" applyFill="1" applyBorder="1" applyAlignment="1">
      <alignment horizontal="left" vertical="center"/>
      <protection/>
    </xf>
    <xf numFmtId="164" fontId="6" fillId="0" borderId="0" xfId="60" applyFont="1" applyAlignment="1" quotePrefix="1">
      <alignment horizontal="left" vertical="center"/>
      <protection/>
    </xf>
    <xf numFmtId="164" fontId="17" fillId="0" borderId="0" xfId="60" applyFont="1" applyFill="1" applyBorder="1" applyAlignment="1">
      <alignment horizontal="left" vertical="center"/>
      <protection/>
    </xf>
    <xf numFmtId="164" fontId="6" fillId="0" borderId="0" xfId="61" applyFont="1" applyFill="1" applyBorder="1" applyAlignment="1" quotePrefix="1">
      <alignment horizontal="right" vertical="center" indent="1"/>
      <protection/>
    </xf>
    <xf numFmtId="164" fontId="14" fillId="0" borderId="0" xfId="60" applyFont="1" applyFill="1" applyBorder="1" applyAlignment="1" quotePrefix="1">
      <alignment horizontal="right" indent="1"/>
      <protection/>
    </xf>
    <xf numFmtId="164" fontId="14" fillId="0" borderId="0" xfId="64" applyFont="1" applyFill="1" applyBorder="1" applyAlignment="1">
      <alignment horizontal="right" indent="1"/>
      <protection/>
    </xf>
    <xf numFmtId="164" fontId="71" fillId="0" borderId="0" xfId="65" applyFont="1" applyAlignment="1">
      <alignment horizontal="center"/>
      <protection/>
    </xf>
    <xf numFmtId="164" fontId="20" fillId="0" borderId="0" xfId="65" applyFont="1" applyFill="1" applyBorder="1" applyAlignment="1" quotePrefix="1">
      <alignment horizontal="right" indent="2"/>
      <protection/>
    </xf>
    <xf numFmtId="164" fontId="0" fillId="0" borderId="0" xfId="0" applyAlignment="1">
      <alignment/>
    </xf>
    <xf numFmtId="164" fontId="6" fillId="0" borderId="0" xfId="0" applyFont="1" applyFill="1" applyBorder="1" applyAlignment="1" quotePrefix="1">
      <alignment horizontal="center" vertical="center"/>
    </xf>
    <xf numFmtId="164" fontId="45" fillId="0" borderId="0" xfId="0" applyFont="1" applyFill="1" applyBorder="1" applyAlignment="1" quotePrefix="1">
      <alignment horizontal="center" vertical="center" wrapText="1"/>
    </xf>
    <xf numFmtId="164" fontId="6" fillId="0" borderId="0" xfId="0" applyFont="1" applyFill="1" applyBorder="1" applyAlignment="1" quotePrefix="1">
      <alignment horizontal="center" vertical="center" wrapText="1"/>
    </xf>
    <xf numFmtId="165" fontId="14" fillId="19" borderId="46" xfId="0" applyNumberFormat="1" applyFont="1" applyFill="1" applyBorder="1" applyAlignment="1" applyProtection="1">
      <alignment vertical="center"/>
      <protection/>
    </xf>
    <xf numFmtId="164" fontId="6" fillId="0" borderId="0" xfId="63" applyFont="1" applyFill="1" applyBorder="1" applyAlignment="1">
      <alignment horizontal="left" vertical="center"/>
      <protection/>
    </xf>
    <xf numFmtId="164" fontId="28" fillId="0" borderId="0" xfId="0" applyFont="1" applyFill="1" applyBorder="1" applyAlignment="1">
      <alignment horizontal="center" vertical="center"/>
    </xf>
    <xf numFmtId="164" fontId="6" fillId="0" borderId="0" xfId="61" applyFont="1" applyFill="1" applyBorder="1" applyAlignment="1">
      <alignment horizontal="left" vertical="center"/>
      <protection/>
    </xf>
    <xf numFmtId="164" fontId="72" fillId="0" borderId="0" xfId="0" applyFont="1" applyFill="1" applyBorder="1" applyAlignment="1">
      <alignment horizontal="center" vertical="center"/>
    </xf>
    <xf numFmtId="164" fontId="6" fillId="0" borderId="0" xfId="0" applyFont="1" applyFill="1" applyBorder="1" applyAlignment="1" quotePrefix="1">
      <alignment horizontal="left" vertical="center"/>
    </xf>
    <xf numFmtId="164" fontId="6" fillId="0" borderId="0" xfId="61" applyFont="1" applyFill="1" applyBorder="1" applyAlignment="1">
      <alignment horizontal="center" vertical="center"/>
      <protection/>
    </xf>
    <xf numFmtId="164" fontId="6" fillId="0" borderId="0" xfId="61" applyFont="1" applyFill="1" applyBorder="1" applyAlignment="1">
      <alignment horizontal="right" vertical="center"/>
      <protection/>
    </xf>
    <xf numFmtId="164" fontId="7" fillId="0" borderId="0" xfId="0" applyFont="1" applyFill="1" applyBorder="1" applyAlignment="1">
      <alignment vertical="center" wrapText="1"/>
    </xf>
    <xf numFmtId="164" fontId="6" fillId="0" borderId="0" xfId="0" applyFont="1" applyFill="1" applyBorder="1" applyAlignment="1" quotePrefix="1">
      <alignment horizontal="right" vertical="center" wrapText="1"/>
    </xf>
    <xf numFmtId="165" fontId="14" fillId="32" borderId="14" xfId="0" applyNumberFormat="1" applyFont="1" applyFill="1" applyBorder="1" applyAlignment="1" applyProtection="1">
      <alignment vertical="center"/>
      <protection/>
    </xf>
    <xf numFmtId="165" fontId="14" fillId="8" borderId="39" xfId="0" applyNumberFormat="1" applyFont="1" applyFill="1" applyBorder="1" applyAlignment="1" applyProtection="1">
      <alignment vertical="center"/>
      <protection/>
    </xf>
    <xf numFmtId="165" fontId="14" fillId="8" borderId="40" xfId="0" applyNumberFormat="1" applyFont="1" applyFill="1" applyBorder="1" applyAlignment="1" applyProtection="1">
      <alignment vertical="center"/>
      <protection/>
    </xf>
    <xf numFmtId="165" fontId="14" fillId="8" borderId="41" xfId="0" applyNumberFormat="1" applyFont="1" applyFill="1" applyBorder="1" applyAlignment="1" applyProtection="1">
      <alignment vertical="center"/>
      <protection/>
    </xf>
    <xf numFmtId="165" fontId="75" fillId="11" borderId="0" xfId="0" applyNumberFormat="1" applyFont="1" applyFill="1" applyBorder="1" applyAlignment="1" applyProtection="1">
      <alignment horizontal="right" vertical="center"/>
      <protection/>
    </xf>
    <xf numFmtId="165" fontId="6" fillId="20" borderId="39" xfId="0" applyNumberFormat="1" applyFont="1" applyFill="1" applyBorder="1" applyAlignment="1" applyProtection="1">
      <alignment vertical="center"/>
      <protection/>
    </xf>
    <xf numFmtId="165" fontId="6" fillId="20" borderId="40" xfId="0" applyNumberFormat="1" applyFont="1" applyFill="1" applyBorder="1" applyAlignment="1" applyProtection="1">
      <alignment vertical="center"/>
      <protection/>
    </xf>
    <xf numFmtId="165" fontId="6" fillId="20" borderId="41" xfId="0" applyNumberFormat="1" applyFont="1" applyFill="1" applyBorder="1" applyAlignment="1" applyProtection="1">
      <alignment vertical="center"/>
      <protection/>
    </xf>
    <xf numFmtId="164" fontId="18" fillId="0" borderId="56" xfId="0" applyFont="1" applyFill="1" applyBorder="1" applyAlignment="1">
      <alignment horizontal="left" vertical="center" indent="7"/>
    </xf>
    <xf numFmtId="164" fontId="17" fillId="0" borderId="56" xfId="0" applyFont="1" applyFill="1" applyBorder="1" applyAlignment="1">
      <alignment horizontal="left" vertical="center" indent="4"/>
    </xf>
    <xf numFmtId="166" fontId="4" fillId="0" borderId="0" xfId="58" applyNumberFormat="1" applyFont="1" applyFill="1" applyBorder="1" applyAlignment="1" applyProtection="1" quotePrefix="1">
      <alignment horizontal="right" vertical="center"/>
      <protection/>
    </xf>
    <xf numFmtId="164" fontId="6" fillId="0" borderId="0" xfId="61" applyFont="1" applyFill="1" applyBorder="1" applyAlignment="1">
      <alignment horizontal="right" vertical="center" indent="2"/>
      <protection/>
    </xf>
    <xf numFmtId="165" fontId="6" fillId="11" borderId="10" xfId="0" applyNumberFormat="1" applyFont="1" applyFill="1" applyBorder="1" applyAlignment="1" applyProtection="1">
      <alignment vertical="center"/>
      <protection/>
    </xf>
    <xf numFmtId="164" fontId="7" fillId="0" borderId="0" xfId="61" applyFont="1" applyFill="1" applyBorder="1" applyAlignment="1" quotePrefix="1">
      <alignment horizontal="left" vertical="center"/>
      <protection/>
    </xf>
    <xf numFmtId="164" fontId="10" fillId="0" borderId="0" xfId="0" applyFont="1" applyFill="1" applyBorder="1" applyAlignment="1">
      <alignment horizontal="left" vertical="center"/>
    </xf>
    <xf numFmtId="164" fontId="0" fillId="0" borderId="0" xfId="0" applyAlignment="1">
      <alignment vertical="distributed"/>
    </xf>
    <xf numFmtId="164" fontId="14" fillId="0" borderId="0" xfId="62" applyFont="1" applyFill="1" applyBorder="1" applyAlignment="1">
      <alignment horizontal="left" vertical="center" indent="3"/>
      <protection/>
    </xf>
    <xf numFmtId="164" fontId="43" fillId="0" borderId="0" xfId="65" applyAlignment="1">
      <alignment/>
      <protection/>
    </xf>
    <xf numFmtId="164" fontId="6" fillId="0" borderId="0" xfId="61" applyFont="1" applyFill="1" applyBorder="1" applyAlignment="1" quotePrefix="1">
      <alignment horizontal="right" vertical="center"/>
      <protection/>
    </xf>
    <xf numFmtId="165" fontId="73" fillId="11" borderId="44" xfId="65" applyNumberFormat="1" applyFont="1" applyFill="1" applyBorder="1" applyAlignment="1">
      <alignment vertical="center"/>
      <protection/>
    </xf>
    <xf numFmtId="164" fontId="8" fillId="0" borderId="0" xfId="65" applyFont="1" applyFill="1" applyBorder="1" applyAlignment="1">
      <alignment horizontal="center" vertical="center"/>
      <protection/>
    </xf>
    <xf numFmtId="164" fontId="14" fillId="0" borderId="0" xfId="66" applyFont="1" applyFill="1" applyBorder="1" applyAlignment="1">
      <alignment horizontal="right" vertical="center" indent="1"/>
      <protection/>
    </xf>
    <xf numFmtId="164" fontId="14" fillId="0" borderId="0" xfId="66" applyFont="1" applyFill="1" applyBorder="1" applyAlignment="1">
      <alignment horizontal="right"/>
      <protection/>
    </xf>
    <xf numFmtId="164" fontId="7" fillId="0" borderId="0" xfId="65" applyFont="1" applyFill="1" applyBorder="1" applyAlignment="1">
      <alignment horizontal="left" vertical="center" indent="1"/>
      <protection/>
    </xf>
    <xf numFmtId="165" fontId="4" fillId="19" borderId="55" xfId="0" applyNumberFormat="1" applyFont="1" applyFill="1" applyBorder="1" applyAlignment="1" applyProtection="1">
      <alignment vertical="center"/>
      <protection/>
    </xf>
    <xf numFmtId="165" fontId="4" fillId="19" borderId="13" xfId="0" applyNumberFormat="1" applyFont="1" applyFill="1" applyBorder="1" applyAlignment="1" applyProtection="1">
      <alignment vertical="center"/>
      <protection/>
    </xf>
    <xf numFmtId="164" fontId="12" fillId="0" borderId="0" xfId="57" applyFont="1" applyFill="1" applyBorder="1" applyAlignment="1" quotePrefix="1">
      <alignment vertical="center"/>
      <protection/>
    </xf>
    <xf numFmtId="164" fontId="77" fillId="0" borderId="0" xfId="0" applyFont="1" applyAlignment="1">
      <alignment/>
    </xf>
    <xf numFmtId="164" fontId="9" fillId="0" borderId="0" xfId="64" applyFont="1" applyFill="1" applyBorder="1" applyAlignment="1">
      <alignment horizontal="center"/>
      <protection/>
    </xf>
    <xf numFmtId="164" fontId="6" fillId="0" borderId="57" xfId="64" applyFont="1" applyBorder="1" applyAlignment="1">
      <alignment horizontal="center" vertical="center"/>
      <protection/>
    </xf>
    <xf numFmtId="165" fontId="78" fillId="8" borderId="20" xfId="0" applyNumberFormat="1" applyFont="1" applyFill="1" applyBorder="1" applyAlignment="1" applyProtection="1">
      <alignment vertical="center"/>
      <protection/>
    </xf>
    <xf numFmtId="165" fontId="78" fillId="8" borderId="24" xfId="0" applyNumberFormat="1" applyFont="1" applyFill="1" applyBorder="1" applyAlignment="1" applyProtection="1">
      <alignment vertical="center"/>
      <protection/>
    </xf>
    <xf numFmtId="164" fontId="7" fillId="0" borderId="0" xfId="64" applyFont="1" applyFill="1" applyBorder="1" applyAlignment="1">
      <alignment horizontal="left" vertical="center"/>
      <protection/>
    </xf>
    <xf numFmtId="166" fontId="5" fillId="0" borderId="47" xfId="0" applyNumberFormat="1" applyFont="1" applyFill="1" applyBorder="1" applyAlignment="1">
      <alignment vertical="center"/>
    </xf>
    <xf numFmtId="166" fontId="4" fillId="0" borderId="49" xfId="0" applyNumberFormat="1" applyFont="1" applyFill="1" applyBorder="1" applyAlignment="1">
      <alignment vertical="center"/>
    </xf>
    <xf numFmtId="166" fontId="6" fillId="0" borderId="37" xfId="0" applyNumberFormat="1" applyFont="1" applyFill="1" applyBorder="1" applyAlignment="1" applyProtection="1">
      <alignment vertical="center"/>
      <protection/>
    </xf>
    <xf numFmtId="165" fontId="75" fillId="31" borderId="0" xfId="0" applyNumberFormat="1" applyFont="1" applyFill="1" applyBorder="1" applyAlignment="1" applyProtection="1">
      <alignment vertical="center"/>
      <protection/>
    </xf>
    <xf numFmtId="165" fontId="75" fillId="20" borderId="0" xfId="0" applyNumberFormat="1" applyFont="1" applyFill="1" applyBorder="1" applyAlignment="1" applyProtection="1">
      <alignment vertical="center"/>
      <protection/>
    </xf>
    <xf numFmtId="164" fontId="0" fillId="0" borderId="0" xfId="0" applyFont="1" applyAlignment="1">
      <alignment vertical="center"/>
    </xf>
    <xf numFmtId="165" fontId="79" fillId="0" borderId="0" xfId="0" applyNumberFormat="1" applyFont="1" applyFill="1" applyBorder="1" applyAlignment="1" applyProtection="1">
      <alignment vertical="center"/>
      <protection/>
    </xf>
    <xf numFmtId="164" fontId="80" fillId="0" borderId="0" xfId="0" applyFont="1" applyFill="1" applyBorder="1" applyAlignment="1">
      <alignment horizontal="center" vertical="center"/>
    </xf>
    <xf numFmtId="166" fontId="79" fillId="0" borderId="0" xfId="0" applyNumberFormat="1" applyFont="1" applyFill="1" applyBorder="1" applyAlignment="1" applyProtection="1">
      <alignment vertical="center"/>
      <protection/>
    </xf>
    <xf numFmtId="167" fontId="79" fillId="0" borderId="0" xfId="0" applyNumberFormat="1" applyFont="1" applyFill="1" applyBorder="1" applyAlignment="1" applyProtection="1">
      <alignment vertical="center"/>
      <protection/>
    </xf>
    <xf numFmtId="165" fontId="79" fillId="0" borderId="0" xfId="0" applyNumberFormat="1" applyFont="1" applyFill="1" applyBorder="1" applyAlignment="1" applyProtection="1">
      <alignment horizontal="left" vertical="center"/>
      <protection/>
    </xf>
    <xf numFmtId="164" fontId="81" fillId="0" borderId="0" xfId="65" applyFont="1" applyAlignment="1">
      <alignment horizontal="right"/>
      <protection/>
    </xf>
    <xf numFmtId="164" fontId="82" fillId="0" borderId="0" xfId="65" applyFont="1" applyFill="1" applyBorder="1" applyAlignment="1" quotePrefix="1">
      <alignment horizontal="left" vertical="center"/>
      <protection/>
    </xf>
    <xf numFmtId="164" fontId="84" fillId="0" borderId="0" xfId="65" applyFont="1" applyFill="1" applyBorder="1" applyAlignment="1">
      <alignment horizontal="right"/>
      <protection/>
    </xf>
    <xf numFmtId="164" fontId="86" fillId="0" borderId="0" xfId="0" applyFont="1" applyAlignment="1">
      <alignment vertical="center"/>
    </xf>
    <xf numFmtId="165" fontId="79" fillId="0" borderId="0" xfId="0" applyNumberFormat="1" applyFont="1" applyFill="1" applyBorder="1" applyAlignment="1" applyProtection="1">
      <alignment horizontal="right" vertical="center"/>
      <protection/>
    </xf>
    <xf numFmtId="164" fontId="87" fillId="0" borderId="0" xfId="65" applyFont="1" applyAlignment="1">
      <alignment horizontal="left"/>
      <protection/>
    </xf>
    <xf numFmtId="164" fontId="85" fillId="0" borderId="0" xfId="65" applyFont="1" applyFill="1" applyBorder="1" applyAlignment="1" quotePrefix="1">
      <alignment horizontal="center" vertical="center"/>
      <protection/>
    </xf>
    <xf numFmtId="164" fontId="85" fillId="0" borderId="0" xfId="0" applyFont="1" applyFill="1" applyBorder="1" applyAlignment="1">
      <alignment horizontal="center"/>
    </xf>
    <xf numFmtId="164" fontId="85" fillId="0" borderId="0" xfId="64" applyFont="1" applyFill="1" applyBorder="1" applyAlignment="1">
      <alignment horizontal="center" vertical="center"/>
      <protection/>
    </xf>
    <xf numFmtId="164" fontId="84" fillId="0" borderId="0" xfId="0" applyFont="1" applyFill="1" applyBorder="1" applyAlignment="1">
      <alignment horizontal="center" vertical="center"/>
    </xf>
    <xf numFmtId="164" fontId="14" fillId="0" borderId="0" xfId="0" applyFont="1" applyFill="1" applyBorder="1" applyAlignment="1">
      <alignment horizontal="right" vertical="center"/>
    </xf>
    <xf numFmtId="165" fontId="3" fillId="11" borderId="39" xfId="0" applyNumberFormat="1" applyFont="1" applyFill="1" applyBorder="1" applyAlignment="1" applyProtection="1">
      <alignment vertical="center"/>
      <protection/>
    </xf>
    <xf numFmtId="165" fontId="3" fillId="11" borderId="40" xfId="0" applyNumberFormat="1" applyFont="1" applyFill="1" applyBorder="1" applyAlignment="1" applyProtection="1">
      <alignment vertical="center"/>
      <protection/>
    </xf>
    <xf numFmtId="165" fontId="3" fillId="11" borderId="41" xfId="0" applyNumberFormat="1" applyFont="1" applyFill="1" applyBorder="1" applyAlignment="1" applyProtection="1">
      <alignment vertical="center"/>
      <protection/>
    </xf>
    <xf numFmtId="165" fontId="3" fillId="11" borderId="20" xfId="0" applyNumberFormat="1" applyFont="1" applyFill="1" applyBorder="1" applyAlignment="1" applyProtection="1">
      <alignment vertical="center"/>
      <protection/>
    </xf>
    <xf numFmtId="165" fontId="3" fillId="11" borderId="24" xfId="0" applyNumberFormat="1" applyFont="1" applyFill="1" applyBorder="1" applyAlignment="1" applyProtection="1">
      <alignment vertical="center"/>
      <protection/>
    </xf>
    <xf numFmtId="164" fontId="89" fillId="0" borderId="0" xfId="0" applyFont="1" applyAlignment="1">
      <alignment/>
    </xf>
    <xf numFmtId="165" fontId="17" fillId="0" borderId="11" xfId="0" applyNumberFormat="1" applyFont="1" applyFill="1" applyBorder="1" applyAlignment="1" applyProtection="1">
      <alignment vertical="center"/>
      <protection/>
    </xf>
    <xf numFmtId="165" fontId="17" fillId="0" borderId="12" xfId="0" applyNumberFormat="1" applyFont="1" applyFill="1" applyBorder="1" applyAlignment="1" applyProtection="1">
      <alignment vertical="center"/>
      <protection/>
    </xf>
    <xf numFmtId="165" fontId="17" fillId="0" borderId="13" xfId="0" applyNumberFormat="1" applyFont="1" applyFill="1" applyBorder="1" applyAlignment="1" applyProtection="1">
      <alignment vertical="center"/>
      <protection/>
    </xf>
    <xf numFmtId="165" fontId="17" fillId="30" borderId="14" xfId="0" applyNumberFormat="1" applyFont="1" applyFill="1" applyBorder="1" applyAlignment="1" applyProtection="1">
      <alignment vertical="center"/>
      <protection/>
    </xf>
    <xf numFmtId="165" fontId="73" fillId="30" borderId="39" xfId="0" applyNumberFormat="1" applyFont="1" applyFill="1" applyBorder="1" applyAlignment="1" applyProtection="1">
      <alignment vertical="center"/>
      <protection/>
    </xf>
    <xf numFmtId="165" fontId="73" fillId="30" borderId="40" xfId="0" applyNumberFormat="1" applyFont="1" applyFill="1" applyBorder="1" applyAlignment="1" applyProtection="1">
      <alignment vertical="center"/>
      <protection/>
    </xf>
    <xf numFmtId="165" fontId="73" fillId="30" borderId="41" xfId="0" applyNumberFormat="1" applyFont="1" applyFill="1" applyBorder="1" applyAlignment="1" applyProtection="1">
      <alignment vertical="center"/>
      <protection/>
    </xf>
    <xf numFmtId="165" fontId="73" fillId="30" borderId="20" xfId="0" applyNumberFormat="1" applyFont="1" applyFill="1" applyBorder="1" applyAlignment="1" applyProtection="1">
      <alignment vertical="center"/>
      <protection/>
    </xf>
    <xf numFmtId="165" fontId="73" fillId="30" borderId="24" xfId="0" applyNumberFormat="1" applyFont="1" applyFill="1" applyBorder="1" applyAlignment="1" applyProtection="1">
      <alignment vertical="center"/>
      <protection/>
    </xf>
    <xf numFmtId="164" fontId="14" fillId="0" borderId="0" xfId="59" applyFont="1" applyFill="1" applyBorder="1" applyAlignment="1">
      <alignment horizontal="right" vertical="center" indent="1"/>
      <protection/>
    </xf>
    <xf numFmtId="164" fontId="90" fillId="0" borderId="0" xfId="0" applyFont="1" applyFill="1" applyBorder="1" applyAlignment="1">
      <alignment horizontal="center" vertical="center"/>
    </xf>
    <xf numFmtId="2" fontId="0" fillId="0" borderId="15" xfId="0" applyNumberFormat="1" applyBorder="1" applyAlignment="1">
      <alignment/>
    </xf>
    <xf numFmtId="164" fontId="0" fillId="0" borderId="53" xfId="0" applyBorder="1" applyAlignment="1">
      <alignment/>
    </xf>
    <xf numFmtId="174" fontId="0" fillId="26" borderId="15" xfId="0" applyNumberFormat="1" applyFill="1" applyBorder="1" applyAlignment="1">
      <alignment/>
    </xf>
    <xf numFmtId="165" fontId="6" fillId="20" borderId="10" xfId="0" applyNumberFormat="1" applyFont="1" applyFill="1" applyBorder="1" applyAlignment="1" applyProtection="1">
      <alignment vertical="center"/>
      <protection/>
    </xf>
    <xf numFmtId="165" fontId="6" fillId="27" borderId="10" xfId="0" applyNumberFormat="1" applyFont="1" applyFill="1" applyBorder="1" applyAlignment="1" applyProtection="1">
      <alignment vertical="center"/>
      <protection/>
    </xf>
    <xf numFmtId="164" fontId="91" fillId="0" borderId="0" xfId="0" applyFont="1" applyFill="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T" xfId="57"/>
    <cellStyle name="Normal_1 DT_1" xfId="58"/>
    <cellStyle name="Normal_1 DT_1 DT" xfId="59"/>
    <cellStyle name="Normal_1 DT_1 DT_1" xfId="60"/>
    <cellStyle name="Normal_1 DT_1 DT_1 DT" xfId="61"/>
    <cellStyle name="Normal_1 DT_1 DT_2" xfId="62"/>
    <cellStyle name="Normal_1 DT_1 DT_IState" xfId="63"/>
    <cellStyle name="Normal_1 DT_1_1 DT" xfId="64"/>
    <cellStyle name="Normal_1 DT_2" xfId="65"/>
    <cellStyle name="Normal_1 DT_3" xfId="66"/>
    <cellStyle name="Normal_X3X3"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215"/>
          <c:w val="0.7885"/>
          <c:h val="0.896"/>
        </c:manualLayout>
      </c:layout>
      <c:lineChart>
        <c:grouping val="standard"/>
        <c:varyColors val="0"/>
        <c:ser>
          <c:idx val="0"/>
          <c:order val="0"/>
          <c:tx>
            <c:strRef>
              <c:f>Series!$L$7</c:f>
              <c:strCache>
                <c:ptCount val="1"/>
                <c:pt idx="0">
                  <c:v>VMPL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Series!$L$8:$L$38</c:f>
              <c:numCache>
                <c:ptCount val="31"/>
                <c:pt idx="0">
                  <c:v>232.00478082998126</c:v>
                </c:pt>
                <c:pt idx="1">
                  <c:v>224.78771885522607</c:v>
                </c:pt>
                <c:pt idx="2">
                  <c:v>223.54495039900496</c:v>
                </c:pt>
                <c:pt idx="3">
                  <c:v>223.55974711939473</c:v>
                </c:pt>
                <c:pt idx="4">
                  <c:v>222.29311703808892</c:v>
                </c:pt>
                <c:pt idx="5">
                  <c:v>221.0489277352346</c:v>
                </c:pt>
                <c:pt idx="6">
                  <c:v>220.15691249754028</c:v>
                </c:pt>
                <c:pt idx="7">
                  <c:v>219.63246927408616</c:v>
                </c:pt>
                <c:pt idx="8">
                  <c:v>219.3877214804722</c:v>
                </c:pt>
                <c:pt idx="9">
                  <c:v>219.31797535601348</c:v>
                </c:pt>
                <c:pt idx="10">
                  <c:v>219.34327917914263</c:v>
                </c:pt>
                <c:pt idx="11">
                  <c:v>219.41272668095638</c:v>
                </c:pt>
                <c:pt idx="12">
                  <c:v>219.4972969391299</c:v>
                </c:pt>
                <c:pt idx="13">
                  <c:v>219.58192902397903</c:v>
                </c:pt>
                <c:pt idx="14">
                  <c:v>219.65964743001885</c:v>
                </c:pt>
                <c:pt idx="15">
                  <c:v>219.72785721452266</c:v>
                </c:pt>
                <c:pt idx="16">
                  <c:v>219.78619500675364</c:v>
                </c:pt>
                <c:pt idx="17">
                  <c:v>219.8353425650342</c:v>
                </c:pt>
                <c:pt idx="18">
                  <c:v>219.87639555903752</c:v>
                </c:pt>
                <c:pt idx="19">
                  <c:v>219.9105411416523</c:v>
                </c:pt>
                <c:pt idx="20">
                  <c:v>219.93890357138886</c:v>
                </c:pt>
                <c:pt idx="21">
                  <c:v>219.96247951295362</c:v>
                </c:pt>
                <c:pt idx="22">
                  <c:v>219.98211982615342</c:v>
                </c:pt>
                <c:pt idx="23">
                  <c:v>219.9985342122559</c:v>
                </c:pt>
                <c:pt idx="24">
                  <c:v>220.01230594292372</c:v>
                </c:pt>
                <c:pt idx="25">
                  <c:v>220.02390992712046</c:v>
                </c:pt>
                <c:pt idx="26">
                  <c:v>220.03373071210373</c:v>
                </c:pt>
                <c:pt idx="27">
                  <c:v>220.0420788468114</c:v>
                </c:pt>
                <c:pt idx="28">
                  <c:v>220.0492050200083</c:v>
                </c:pt>
                <c:pt idx="29">
                  <c:v>220.05531189445338</c:v>
                </c:pt>
                <c:pt idx="30">
                  <c:v>220.05903420757105</c:v>
                </c:pt>
              </c:numCache>
            </c:numRef>
          </c:val>
          <c:smooth val="1"/>
        </c:ser>
        <c:ser>
          <c:idx val="1"/>
          <c:order val="1"/>
          <c:tx>
            <c:strRef>
              <c:f>Series!$K$7</c:f>
              <c:strCache>
                <c:ptCount val="1"/>
                <c:pt idx="0">
                  <c:v>VMP1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Series!$K$8:$K$38</c:f>
              <c:numCache>
                <c:ptCount val="31"/>
                <c:pt idx="0">
                  <c:v>231.76213956744616</c:v>
                </c:pt>
                <c:pt idx="1">
                  <c:v>218.42690690648436</c:v>
                </c:pt>
                <c:pt idx="2">
                  <c:v>219.4747967587353</c:v>
                </c:pt>
                <c:pt idx="3">
                  <c:v>219.51956237128917</c:v>
                </c:pt>
                <c:pt idx="4">
                  <c:v>218.97905457897517</c:v>
                </c:pt>
                <c:pt idx="5">
                  <c:v>218.64706975334158</c:v>
                </c:pt>
                <c:pt idx="6">
                  <c:v>218.5246651932624</c:v>
                </c:pt>
                <c:pt idx="7">
                  <c:v>218.55258581694787</c:v>
                </c:pt>
                <c:pt idx="8">
                  <c:v>218.6653548446099</c:v>
                </c:pt>
                <c:pt idx="9">
                  <c:v>218.81432624908825</c:v>
                </c:pt>
                <c:pt idx="10">
                  <c:v>218.97085870657656</c:v>
                </c:pt>
                <c:pt idx="11">
                  <c:v>219.12011301116218</c:v>
                </c:pt>
                <c:pt idx="12">
                  <c:v>219.25548293948316</c:v>
                </c:pt>
                <c:pt idx="13">
                  <c:v>219.37486341172766</c:v>
                </c:pt>
                <c:pt idx="14">
                  <c:v>219.47842566003888</c:v>
                </c:pt>
                <c:pt idx="15">
                  <c:v>219.56738895520843</c:v>
                </c:pt>
                <c:pt idx="16">
                  <c:v>219.6433726787397</c:v>
                </c:pt>
                <c:pt idx="17">
                  <c:v>219.7080669590897</c:v>
                </c:pt>
                <c:pt idx="18">
                  <c:v>219.7630735924216</c:v>
                </c:pt>
                <c:pt idx="19">
                  <c:v>219.8098369275297</c:v>
                </c:pt>
                <c:pt idx="20">
                  <c:v>219.8496218414283</c:v>
                </c:pt>
                <c:pt idx="21">
                  <c:v>219.88351580421352</c:v>
                </c:pt>
                <c:pt idx="22">
                  <c:v>219.91244254766025</c:v>
                </c:pt>
                <c:pt idx="23">
                  <c:v>219.93718051983151</c:v>
                </c:pt>
                <c:pt idx="24">
                  <c:v>219.9583824383825</c:v>
                </c:pt>
                <c:pt idx="25">
                  <c:v>219.97659402023805</c:v>
                </c:pt>
                <c:pt idx="26">
                  <c:v>219.99227096928408</c:v>
                </c:pt>
                <c:pt idx="27">
                  <c:v>220.00579387188748</c:v>
                </c:pt>
                <c:pt idx="28">
                  <c:v>220.0174809644473</c:v>
                </c:pt>
                <c:pt idx="29">
                  <c:v>220.02759890257278</c:v>
                </c:pt>
                <c:pt idx="30">
                  <c:v>220.0338101961415</c:v>
                </c:pt>
              </c:numCache>
            </c:numRef>
          </c:val>
          <c:smooth val="1"/>
        </c:ser>
        <c:ser>
          <c:idx val="2"/>
          <c:order val="2"/>
          <c:tx>
            <c:strRef>
              <c:f>Series!$J$7</c:f>
              <c:strCache>
                <c:ptCount val="1"/>
                <c:pt idx="0">
                  <c:v>MC2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Series!$J$8:$J$38</c:f>
              <c:numCache>
                <c:ptCount val="31"/>
                <c:pt idx="0">
                  <c:v>225.99976763117965</c:v>
                </c:pt>
                <c:pt idx="1">
                  <c:v>216.27890042866053</c:v>
                </c:pt>
                <c:pt idx="2">
                  <c:v>218.71819356403617</c:v>
                </c:pt>
                <c:pt idx="3">
                  <c:v>219.0708942915645</c:v>
                </c:pt>
                <c:pt idx="4">
                  <c:v>218.68698649924846</c:v>
                </c:pt>
                <c:pt idx="5">
                  <c:v>218.4635644828011</c:v>
                </c:pt>
                <c:pt idx="6">
                  <c:v>218.4117611569154</c:v>
                </c:pt>
                <c:pt idx="7">
                  <c:v>218.4802446345674</c:v>
                </c:pt>
                <c:pt idx="8">
                  <c:v>218.6132931138831</c:v>
                </c:pt>
                <c:pt idx="9">
                  <c:v>218.77072495651794</c:v>
                </c:pt>
                <c:pt idx="10">
                  <c:v>218.92983151086335</c:v>
                </c:pt>
                <c:pt idx="11">
                  <c:v>219.07935759692106</c:v>
                </c:pt>
                <c:pt idx="12">
                  <c:v>219.2145906145123</c:v>
                </c:pt>
                <c:pt idx="13">
                  <c:v>219.33426851695998</c:v>
                </c:pt>
                <c:pt idx="14">
                  <c:v>219.43882300576013</c:v>
                </c:pt>
                <c:pt idx="15">
                  <c:v>219.5294471724619</c:v>
                </c:pt>
                <c:pt idx="16">
                  <c:v>219.6076166597751</c:v>
                </c:pt>
                <c:pt idx="17">
                  <c:v>219.67484862825782</c:v>
                </c:pt>
                <c:pt idx="18">
                  <c:v>219.73258413465518</c:v>
                </c:pt>
                <c:pt idx="19">
                  <c:v>219.7821351504205</c:v>
                </c:pt>
                <c:pt idx="20">
                  <c:v>219.8246659177302</c:v>
                </c:pt>
                <c:pt idx="21">
                  <c:v>219.86119255007543</c:v>
                </c:pt>
                <c:pt idx="22">
                  <c:v>219.89259200656517</c:v>
                </c:pt>
                <c:pt idx="23">
                  <c:v>219.91961541528005</c:v>
                </c:pt>
                <c:pt idx="24">
                  <c:v>219.94290287959555</c:v>
                </c:pt>
                <c:pt idx="25">
                  <c:v>219.96299816327993</c:v>
                </c:pt>
                <c:pt idx="26">
                  <c:v>219.9803624029603</c:v>
                </c:pt>
                <c:pt idx="27">
                  <c:v>219.9953864480616</c:v>
                </c:pt>
                <c:pt idx="28">
                  <c:v>220.00840169521166</c:v>
                </c:pt>
                <c:pt idx="29">
                  <c:v>220.01968943722858</c:v>
                </c:pt>
                <c:pt idx="30">
                  <c:v>220.02662653861805</c:v>
                </c:pt>
              </c:numCache>
            </c:numRef>
          </c:val>
          <c:smooth val="1"/>
        </c:ser>
        <c:ser>
          <c:idx val="3"/>
          <c:order val="3"/>
          <c:tx>
            <c:strRef>
              <c:f>Series!$I$7</c:f>
              <c:strCache>
                <c:ptCount val="1"/>
                <c:pt idx="0">
                  <c:v>P2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Series!$I$8:$I$38</c:f>
              <c:numCache>
                <c:ptCount val="31"/>
                <c:pt idx="0">
                  <c:v>231.1028141111843</c:v>
                </c:pt>
                <c:pt idx="1">
                  <c:v>217.5992924428796</c:v>
                </c:pt>
                <c:pt idx="2">
                  <c:v>218.97852718079258</c:v>
                </c:pt>
                <c:pt idx="3">
                  <c:v>219.1949461130951</c:v>
                </c:pt>
                <c:pt idx="4">
                  <c:v>218.7612540306416</c:v>
                </c:pt>
                <c:pt idx="5">
                  <c:v>218.50639553448724</c:v>
                </c:pt>
                <c:pt idx="6">
                  <c:v>218.43668753947972</c:v>
                </c:pt>
                <c:pt idx="7">
                  <c:v>218.4975723838088</c:v>
                </c:pt>
                <c:pt idx="8">
                  <c:v>218.6296204668823</c:v>
                </c:pt>
                <c:pt idx="9">
                  <c:v>218.7892782405673</c:v>
                </c:pt>
                <c:pt idx="10">
                  <c:v>218.95153186656322</c:v>
                </c:pt>
                <c:pt idx="11">
                  <c:v>219.10385494577045</c:v>
                </c:pt>
                <c:pt idx="12">
                  <c:v>219.24099033673346</c:v>
                </c:pt>
                <c:pt idx="13">
                  <c:v>219.36155983637983</c:v>
                </c:pt>
                <c:pt idx="14">
                  <c:v>219.46609384723507</c:v>
                </c:pt>
                <c:pt idx="15">
                  <c:v>219.5559689863677</c:v>
                </c:pt>
                <c:pt idx="16">
                  <c:v>219.63285916802573</c:v>
                </c:pt>
                <c:pt idx="17">
                  <c:v>219.69846141754743</c:v>
                </c:pt>
                <c:pt idx="18">
                  <c:v>219.7543656888175</c:v>
                </c:pt>
                <c:pt idx="19">
                  <c:v>219.8019998644601</c:v>
                </c:pt>
                <c:pt idx="20">
                  <c:v>219.84261395619507</c:v>
                </c:pt>
                <c:pt idx="21">
                  <c:v>219.87728439259692</c:v>
                </c:pt>
                <c:pt idx="22">
                  <c:v>219.90692800763225</c:v>
                </c:pt>
                <c:pt idx="23">
                  <c:v>219.93232000263288</c:v>
                </c:pt>
                <c:pt idx="24">
                  <c:v>219.95411273841034</c:v>
                </c:pt>
                <c:pt idx="25">
                  <c:v>219.97285369093822</c:v>
                </c:pt>
                <c:pt idx="26">
                  <c:v>219.98900175991008</c:v>
                </c:pt>
                <c:pt idx="27">
                  <c:v>220.00294161410054</c:v>
                </c:pt>
                <c:pt idx="28">
                  <c:v>220.0149960370406</c:v>
                </c:pt>
                <c:pt idx="29">
                  <c:v>220.02543638704668</c:v>
                </c:pt>
                <c:pt idx="30">
                  <c:v>220.03184723234233</c:v>
                </c:pt>
              </c:numCache>
            </c:numRef>
          </c:val>
          <c:smooth val="1"/>
        </c:ser>
        <c:ser>
          <c:idx val="4"/>
          <c:order val="4"/>
          <c:tx>
            <c:strRef>
              <c:f>Series!$M$7</c:f>
              <c:strCache>
                <c:ptCount val="1"/>
                <c:pt idx="0">
                  <c:v>P*</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Series!$M$8:$M$36</c:f>
              <c:numCache>
                <c:ptCount val="29"/>
                <c:pt idx="0">
                  <c:v>213.81587768612636</c:v>
                </c:pt>
                <c:pt idx="1">
                  <c:v>213.81587768612636</c:v>
                </c:pt>
                <c:pt idx="2">
                  <c:v>213.81587768612636</c:v>
                </c:pt>
                <c:pt idx="3">
                  <c:v>213.81587768612636</c:v>
                </c:pt>
                <c:pt idx="4">
                  <c:v>213.81587768612636</c:v>
                </c:pt>
                <c:pt idx="5">
                  <c:v>213.81587768612636</c:v>
                </c:pt>
                <c:pt idx="6">
                  <c:v>213.81587768612636</c:v>
                </c:pt>
                <c:pt idx="7">
                  <c:v>213.81587768612636</c:v>
                </c:pt>
                <c:pt idx="8">
                  <c:v>213.81587768612636</c:v>
                </c:pt>
                <c:pt idx="9">
                  <c:v>213.81587768612636</c:v>
                </c:pt>
                <c:pt idx="10">
                  <c:v>213.81587768612636</c:v>
                </c:pt>
                <c:pt idx="11">
                  <c:v>213.81587768612636</c:v>
                </c:pt>
                <c:pt idx="12">
                  <c:v>213.81587768612636</c:v>
                </c:pt>
                <c:pt idx="13">
                  <c:v>213.81587768612636</c:v>
                </c:pt>
                <c:pt idx="14">
                  <c:v>213.81587768612636</c:v>
                </c:pt>
                <c:pt idx="15">
                  <c:v>213.81587768612636</c:v>
                </c:pt>
                <c:pt idx="16">
                  <c:v>213.81587768612636</c:v>
                </c:pt>
                <c:pt idx="17">
                  <c:v>213.81587768612636</c:v>
                </c:pt>
                <c:pt idx="18">
                  <c:v>213.81587768612636</c:v>
                </c:pt>
                <c:pt idx="19">
                  <c:v>213.81587768612636</c:v>
                </c:pt>
                <c:pt idx="20">
                  <c:v>213.81587768612636</c:v>
                </c:pt>
                <c:pt idx="21">
                  <c:v>213.81587768612636</c:v>
                </c:pt>
                <c:pt idx="22">
                  <c:v>213.81587768612636</c:v>
                </c:pt>
                <c:pt idx="23">
                  <c:v>213.81587768612636</c:v>
                </c:pt>
                <c:pt idx="24">
                  <c:v>213.81587768612636</c:v>
                </c:pt>
                <c:pt idx="25">
                  <c:v>213.81587768612636</c:v>
                </c:pt>
                <c:pt idx="26">
                  <c:v>213.81587768612636</c:v>
                </c:pt>
                <c:pt idx="27">
                  <c:v>213.81587768612636</c:v>
                </c:pt>
                <c:pt idx="28">
                  <c:v>213.81587768612636</c:v>
                </c:pt>
              </c:numCache>
            </c:numRef>
          </c:val>
          <c:smooth val="1"/>
        </c:ser>
        <c:marker val="1"/>
        <c:axId val="39576324"/>
        <c:axId val="20642597"/>
      </c:lineChart>
      <c:catAx>
        <c:axId val="39576324"/>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175"/>
              <c:y val="0.0955"/>
            </c:manualLayout>
          </c:layout>
          <c:overlay val="0"/>
          <c:spPr>
            <a:noFill/>
            <a:ln>
              <a:noFill/>
            </a:ln>
          </c:spPr>
        </c:title>
        <c:delete val="0"/>
        <c:numFmt formatCode="0" sourceLinked="0"/>
        <c:majorTickMark val="out"/>
        <c:minorTickMark val="out"/>
        <c:tickLblPos val="nextTo"/>
        <c:txPr>
          <a:bodyPr vert="horz" rot="0"/>
          <a:lstStyle/>
          <a:p>
            <a:pPr>
              <a:defRPr lang="en-US" cap="none" sz="800" b="1" i="0" u="none" baseline="0">
                <a:solidFill>
                  <a:srgbClr val="000000"/>
                </a:solidFill>
              </a:defRPr>
            </a:pPr>
          </a:p>
        </c:txPr>
        <c:crossAx val="20642597"/>
        <c:crossesAt val="200"/>
        <c:auto val="1"/>
        <c:lblOffset val="100"/>
        <c:tickLblSkip val="5"/>
        <c:noMultiLvlLbl val="0"/>
      </c:catAx>
      <c:valAx>
        <c:axId val="20642597"/>
        <c:scaling>
          <c:orientation val="minMax"/>
          <c:max val="240"/>
          <c:min val="200"/>
        </c:scaling>
        <c:axPos val="l"/>
        <c:title>
          <c:tx>
            <c:rich>
              <a:bodyPr vert="horz" rot="-5400000" anchor="ctr"/>
              <a:lstStyle/>
              <a:p>
                <a:pPr algn="ctr">
                  <a:defRPr/>
                </a:pPr>
                <a:r>
                  <a:rPr lang="en-US" cap="none" sz="800" b="1" i="0" u="none" baseline="0">
                    <a:solidFill>
                      <a:srgbClr val="000000"/>
                    </a:solidFill>
                  </a:rPr>
                  <a:t>marginal values of Good #2</a:t>
                </a:r>
              </a:p>
            </c:rich>
          </c:tx>
          <c:layout>
            <c:manualLayout>
              <c:xMode val="factor"/>
              <c:yMode val="factor"/>
              <c:x val="-0.00575"/>
              <c:y val="0"/>
            </c:manualLayout>
          </c:layout>
          <c:overlay val="0"/>
          <c:spPr>
            <a:noFill/>
            <a:ln>
              <a:noFill/>
            </a:ln>
          </c:spPr>
        </c:title>
        <c:delete val="0"/>
        <c:numFmt formatCode="0" sourceLinked="0"/>
        <c:majorTickMark val="out"/>
        <c:minorTickMark val="out"/>
        <c:tickLblPos val="nextTo"/>
        <c:txPr>
          <a:bodyPr vert="horz" rot="0"/>
          <a:lstStyle/>
          <a:p>
            <a:pPr>
              <a:defRPr lang="en-US" cap="none" sz="800" b="1" i="0" u="none" baseline="0">
                <a:solidFill>
                  <a:srgbClr val="000000"/>
                </a:solidFill>
              </a:defRPr>
            </a:pPr>
          </a:p>
        </c:txPr>
        <c:crossAx val="39576324"/>
        <c:crossesAt val="1"/>
        <c:crossBetween val="midCat"/>
        <c:dispUnits/>
        <c:majorUnit val="10"/>
        <c:minorUnit val="5"/>
      </c:valAx>
      <c:spPr>
        <a:pattFill prst="dotGrid">
          <a:fgClr>
            <a:srgbClr val="808080"/>
          </a:fgClr>
          <a:bgClr>
            <a:srgbClr val="C0C0C0"/>
          </a:bgClr>
        </a:pattFill>
        <a:ln w="3175">
          <a:noFill/>
        </a:ln>
      </c:spPr>
    </c:plotArea>
    <c:legend>
      <c:legendPos val="r"/>
      <c:layout>
        <c:manualLayout>
          <c:xMode val="edge"/>
          <c:yMode val="edge"/>
          <c:x val="0.792"/>
          <c:y val="0.211"/>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C0C0C0"/>
    </a:solidFill>
    <a:ln w="3175">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33"/>
          <c:w val="0.8415"/>
          <c:h val="0.9005"/>
        </c:manualLayout>
      </c:layout>
      <c:lineChart>
        <c:grouping val="standard"/>
        <c:varyColors val="0"/>
        <c:ser>
          <c:idx val="0"/>
          <c:order val="0"/>
          <c:tx>
            <c:strRef>
              <c:f>Series!$S$15</c:f>
              <c:strCache>
                <c:ptCount val="1"/>
                <c:pt idx="0">
                  <c:v>s</c:v>
                </c:pt>
              </c:strCache>
            </c:strRef>
          </c:tx>
          <c:spPr>
            <a:ln w="3175">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600</c:v>
                </c:pt>
                <c:pt idx="1">
                  <c:v>620</c:v>
                </c:pt>
                <c:pt idx="2">
                  <c:v>640</c:v>
                </c:pt>
                <c:pt idx="3">
                  <c:v>660</c:v>
                </c:pt>
                <c:pt idx="4">
                  <c:v>680</c:v>
                </c:pt>
                <c:pt idx="5">
                  <c:v>700</c:v>
                </c:pt>
                <c:pt idx="6">
                  <c:v>720</c:v>
                </c:pt>
                <c:pt idx="7">
                  <c:v>740</c:v>
                </c:pt>
                <c:pt idx="8">
                  <c:v>760</c:v>
                </c:pt>
                <c:pt idx="9">
                  <c:v>780</c:v>
                </c:pt>
                <c:pt idx="10">
                  <c:v>800</c:v>
                </c:pt>
                <c:pt idx="11">
                  <c:v>820</c:v>
                </c:pt>
                <c:pt idx="12">
                  <c:v>840</c:v>
                </c:pt>
                <c:pt idx="13">
                  <c:v>860</c:v>
                </c:pt>
                <c:pt idx="14">
                  <c:v>880</c:v>
                </c:pt>
                <c:pt idx="15">
                  <c:v>900</c:v>
                </c:pt>
                <c:pt idx="16">
                  <c:v>920</c:v>
                </c:pt>
                <c:pt idx="17">
                  <c:v>940</c:v>
                </c:pt>
                <c:pt idx="18">
                  <c:v>960</c:v>
                </c:pt>
                <c:pt idx="19">
                  <c:v>980</c:v>
                </c:pt>
                <c:pt idx="20">
                  <c:v>1000</c:v>
                </c:pt>
              </c:numCache>
            </c:numRef>
          </c:cat>
          <c:val>
            <c:numRef>
              <c:f>Series!$S$16:$S$36</c:f>
              <c:numCache>
                <c:ptCount val="21"/>
                <c:pt idx="0">
                  <c:v>206.96816755028343</c:v>
                </c:pt>
                <c:pt idx="1">
                  <c:v>207.8557373966128</c:v>
                </c:pt>
                <c:pt idx="2">
                  <c:v>208.75095260345537</c:v>
                </c:pt>
                <c:pt idx="3">
                  <c:v>209.65391238165952</c:v>
                </c:pt>
                <c:pt idx="4">
                  <c:v>210.5647176660913</c:v>
                </c:pt>
                <c:pt idx="5">
                  <c:v>211.48347115324634</c:v>
                </c:pt>
                <c:pt idx="6">
                  <c:v>212.41027733985084</c:v>
                </c:pt>
                <c:pt idx="7">
                  <c:v>213.3452425624817</c:v>
                </c:pt>
                <c:pt idx="8">
                  <c:v>214.28847503823803</c:v>
                </c:pt>
                <c:pt idx="9">
                  <c:v>215.24008490649604</c:v>
                </c:pt>
                <c:pt idx="10">
                  <c:v>216.2001842717816</c:v>
                </c:pt>
                <c:pt idx="11">
                  <c:v>217.1688872477954</c:v>
                </c:pt>
                <c:pt idx="12">
                  <c:v>218.14631000262676</c:v>
                </c:pt>
                <c:pt idx="13">
                  <c:v>219.1325708051942</c:v>
                </c:pt>
                <c:pt idx="14">
                  <c:v>220.1277900729514</c:v>
                </c:pt>
                <c:pt idx="15">
                  <c:v>221.13209042089898</c:v>
                </c:pt>
                <c:pt idx="16">
                  <c:v>222.14559671194425</c:v>
                </c:pt>
                <c:pt idx="17">
                  <c:v>223.16843610865206</c:v>
                </c:pt>
                <c:pt idx="18">
                  <c:v>224.2007381264321</c:v>
                </c:pt>
                <c:pt idx="19">
                  <c:v>225.242634688209</c:v>
                </c:pt>
                <c:pt idx="20">
                  <c:v>226.29426018062406</c:v>
                </c:pt>
              </c:numCache>
            </c:numRef>
          </c:val>
          <c:smooth val="1"/>
        </c:ser>
        <c:ser>
          <c:idx val="1"/>
          <c:order val="1"/>
          <c:tx>
            <c:strRef>
              <c:f>Series!$T$15</c:f>
              <c:strCache>
                <c:ptCount val="1"/>
                <c:pt idx="0">
                  <c:v>d</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600</c:v>
                </c:pt>
                <c:pt idx="1">
                  <c:v>620</c:v>
                </c:pt>
                <c:pt idx="2">
                  <c:v>640</c:v>
                </c:pt>
                <c:pt idx="3">
                  <c:v>660</c:v>
                </c:pt>
                <c:pt idx="4">
                  <c:v>680</c:v>
                </c:pt>
                <c:pt idx="5">
                  <c:v>700</c:v>
                </c:pt>
                <c:pt idx="6">
                  <c:v>720</c:v>
                </c:pt>
                <c:pt idx="7">
                  <c:v>740</c:v>
                </c:pt>
                <c:pt idx="8">
                  <c:v>760</c:v>
                </c:pt>
                <c:pt idx="9">
                  <c:v>780</c:v>
                </c:pt>
                <c:pt idx="10">
                  <c:v>800</c:v>
                </c:pt>
                <c:pt idx="11">
                  <c:v>820</c:v>
                </c:pt>
                <c:pt idx="12">
                  <c:v>840</c:v>
                </c:pt>
                <c:pt idx="13">
                  <c:v>860</c:v>
                </c:pt>
                <c:pt idx="14">
                  <c:v>880</c:v>
                </c:pt>
                <c:pt idx="15">
                  <c:v>900</c:v>
                </c:pt>
                <c:pt idx="16">
                  <c:v>920</c:v>
                </c:pt>
                <c:pt idx="17">
                  <c:v>940</c:v>
                </c:pt>
                <c:pt idx="18">
                  <c:v>960</c:v>
                </c:pt>
                <c:pt idx="19">
                  <c:v>980</c:v>
                </c:pt>
                <c:pt idx="20">
                  <c:v>1000</c:v>
                </c:pt>
              </c:numCache>
            </c:numRef>
          </c:cat>
          <c:val>
            <c:numRef>
              <c:f>Series!$T$16:$T$36</c:f>
              <c:numCache>
                <c:ptCount val="21"/>
                <c:pt idx="0">
                  <c:v>216.053665813817</c:v>
                </c:pt>
                <c:pt idx="1">
                  <c:v>215.75258342707133</c:v>
                </c:pt>
                <c:pt idx="2">
                  <c:v>215.45233902150576</c:v>
                </c:pt>
                <c:pt idx="3">
                  <c:v>215.15292910354196</c:v>
                </c:pt>
                <c:pt idx="4">
                  <c:v>214.85435019899438</c:v>
                </c:pt>
                <c:pt idx="5">
                  <c:v>214.5565988529361</c:v>
                </c:pt>
                <c:pt idx="6">
                  <c:v>214.2596716295654</c:v>
                </c:pt>
                <c:pt idx="7">
                  <c:v>213.96356511207358</c:v>
                </c:pt>
                <c:pt idx="8">
                  <c:v>213.6682759025141</c:v>
                </c:pt>
                <c:pt idx="9">
                  <c:v>213.37380062167236</c:v>
                </c:pt>
                <c:pt idx="10">
                  <c:v>213.08013590893697</c:v>
                </c:pt>
                <c:pt idx="11">
                  <c:v>212.7872784221718</c:v>
                </c:pt>
                <c:pt idx="12">
                  <c:v>212.49522483758926</c:v>
                </c:pt>
                <c:pt idx="13">
                  <c:v>212.20397184962457</c:v>
                </c:pt>
                <c:pt idx="14">
                  <c:v>211.91351617081096</c:v>
                </c:pt>
                <c:pt idx="15">
                  <c:v>211.62385453165606</c:v>
                </c:pt>
                <c:pt idx="16">
                  <c:v>211.33498368051917</c:v>
                </c:pt>
                <c:pt idx="17">
                  <c:v>211.0469003834896</c:v>
                </c:pt>
                <c:pt idx="18">
                  <c:v>210.75960142426607</c:v>
                </c:pt>
                <c:pt idx="19">
                  <c:v>210.47308360403684</c:v>
                </c:pt>
                <c:pt idx="20">
                  <c:v>210.18734374136122</c:v>
                </c:pt>
              </c:numCache>
            </c:numRef>
          </c:val>
          <c:smooth val="1"/>
        </c:ser>
        <c:ser>
          <c:idx val="2"/>
          <c:order val="2"/>
          <c:tx>
            <c:strRef>
              <c:f>Series!$U$15</c:f>
              <c:strCache>
                <c:ptCount val="1"/>
                <c:pt idx="0">
                  <c:v>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600</c:v>
                </c:pt>
                <c:pt idx="1">
                  <c:v>620</c:v>
                </c:pt>
                <c:pt idx="2">
                  <c:v>640</c:v>
                </c:pt>
                <c:pt idx="3">
                  <c:v>660</c:v>
                </c:pt>
                <c:pt idx="4">
                  <c:v>680</c:v>
                </c:pt>
                <c:pt idx="5">
                  <c:v>700</c:v>
                </c:pt>
                <c:pt idx="6">
                  <c:v>720</c:v>
                </c:pt>
                <c:pt idx="7">
                  <c:v>740</c:v>
                </c:pt>
                <c:pt idx="8">
                  <c:v>760</c:v>
                </c:pt>
                <c:pt idx="9">
                  <c:v>780</c:v>
                </c:pt>
                <c:pt idx="10">
                  <c:v>800</c:v>
                </c:pt>
                <c:pt idx="11">
                  <c:v>820</c:v>
                </c:pt>
                <c:pt idx="12">
                  <c:v>840</c:v>
                </c:pt>
                <c:pt idx="13">
                  <c:v>860</c:v>
                </c:pt>
                <c:pt idx="14">
                  <c:v>880</c:v>
                </c:pt>
                <c:pt idx="15">
                  <c:v>900</c:v>
                </c:pt>
                <c:pt idx="16">
                  <c:v>920</c:v>
                </c:pt>
                <c:pt idx="17">
                  <c:v>940</c:v>
                </c:pt>
                <c:pt idx="18">
                  <c:v>960</c:v>
                </c:pt>
                <c:pt idx="19">
                  <c:v>980</c:v>
                </c:pt>
                <c:pt idx="20">
                  <c:v>1000</c:v>
                </c:pt>
              </c:numCache>
            </c:numRef>
          </c:cat>
          <c:val>
            <c:numRef>
              <c:f>Series!$U$16:$U$36</c:f>
              <c:numCache>
                <c:ptCount val="21"/>
                <c:pt idx="0">
                  <c:v>208.91522313485328</c:v>
                </c:pt>
                <c:pt idx="1">
                  <c:v>209.78646612134733</c:v>
                </c:pt>
                <c:pt idx="2">
                  <c:v>210.66500626050083</c:v>
                </c:pt>
                <c:pt idx="3">
                  <c:v>211.55093561451994</c:v>
                </c:pt>
                <c:pt idx="4">
                  <c:v>212.44434780078225</c:v>
                </c:pt>
                <c:pt idx="5">
                  <c:v>213.34533802481482</c:v>
                </c:pt>
                <c:pt idx="6">
                  <c:v>214.2540031141147</c:v>
                </c:pt>
                <c:pt idx="7">
                  <c:v>215.1704415528378</c:v>
                </c:pt>
                <c:pt idx="8">
                  <c:v>216.0947535173813</c:v>
                </c:pt>
                <c:pt idx="9">
                  <c:v>217.02704091288768</c:v>
                </c:pt>
                <c:pt idx="10">
                  <c:v>217.96740741069743</c:v>
                </c:pt>
                <c:pt idx="11">
                  <c:v>218.91595848677972</c:v>
                </c:pt>
                <c:pt idx="12">
                  <c:v>219.87280146117106</c:v>
                </c:pt>
                <c:pt idx="13">
                  <c:v>220.83804553845266</c:v>
                </c:pt>
                <c:pt idx="14">
                  <c:v>221.8118018492986</c:v>
                </c:pt>
                <c:pt idx="15">
                  <c:v>222.7941834931283</c:v>
                </c:pt>
                <c:pt idx="16">
                  <c:v>223.7853055818972</c:v>
                </c:pt>
                <c:pt idx="17">
                  <c:v>224.78528528506175</c:v>
                </c:pt>
                <c:pt idx="18">
                  <c:v>225.79424187575512</c:v>
                </c:pt>
                <c:pt idx="19">
                  <c:v>226.81229677821221</c:v>
                </c:pt>
                <c:pt idx="20">
                  <c:v>227.83957361648356</c:v>
                </c:pt>
              </c:numCache>
            </c:numRef>
          </c:val>
          <c:smooth val="1"/>
        </c:ser>
        <c:ser>
          <c:idx val="3"/>
          <c:order val="3"/>
          <c:tx>
            <c:strRef>
              <c:f>Series!$V$15</c:f>
              <c:strCache>
                <c:ptCount val="1"/>
                <c:pt idx="0">
                  <c:v>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600</c:v>
                </c:pt>
                <c:pt idx="1">
                  <c:v>620</c:v>
                </c:pt>
                <c:pt idx="2">
                  <c:v>640</c:v>
                </c:pt>
                <c:pt idx="3">
                  <c:v>660</c:v>
                </c:pt>
                <c:pt idx="4">
                  <c:v>680</c:v>
                </c:pt>
                <c:pt idx="5">
                  <c:v>700</c:v>
                </c:pt>
                <c:pt idx="6">
                  <c:v>720</c:v>
                </c:pt>
                <c:pt idx="7">
                  <c:v>740</c:v>
                </c:pt>
                <c:pt idx="8">
                  <c:v>760</c:v>
                </c:pt>
                <c:pt idx="9">
                  <c:v>780</c:v>
                </c:pt>
                <c:pt idx="10">
                  <c:v>800</c:v>
                </c:pt>
                <c:pt idx="11">
                  <c:v>820</c:v>
                </c:pt>
                <c:pt idx="12">
                  <c:v>840</c:v>
                </c:pt>
                <c:pt idx="13">
                  <c:v>860</c:v>
                </c:pt>
                <c:pt idx="14">
                  <c:v>880</c:v>
                </c:pt>
                <c:pt idx="15">
                  <c:v>900</c:v>
                </c:pt>
                <c:pt idx="16">
                  <c:v>920</c:v>
                </c:pt>
                <c:pt idx="17">
                  <c:v>940</c:v>
                </c:pt>
                <c:pt idx="18">
                  <c:v>960</c:v>
                </c:pt>
                <c:pt idx="19">
                  <c:v>980</c:v>
                </c:pt>
                <c:pt idx="20">
                  <c:v>1000</c:v>
                </c:pt>
              </c:numCache>
            </c:numRef>
          </c:cat>
          <c:val>
            <c:numRef>
              <c:f>Series!$V$16:$V$36</c:f>
              <c:numCache>
                <c:ptCount val="21"/>
                <c:pt idx="0">
                  <c:v>223.7667996570219</c:v>
                </c:pt>
                <c:pt idx="1">
                  <c:v>223.45496860402216</c:v>
                </c:pt>
                <c:pt idx="2">
                  <c:v>223.14400544820037</c:v>
                </c:pt>
                <c:pt idx="3">
                  <c:v>222.8339065712571</c:v>
                </c:pt>
                <c:pt idx="4">
                  <c:v>222.52466837497823</c:v>
                </c:pt>
                <c:pt idx="5">
                  <c:v>222.21628728109553</c:v>
                </c:pt>
                <c:pt idx="6">
                  <c:v>221.9087597311489</c:v>
                </c:pt>
                <c:pt idx="7">
                  <c:v>221.60208218634932</c:v>
                </c:pt>
                <c:pt idx="8">
                  <c:v>221.29625112744327</c:v>
                </c:pt>
                <c:pt idx="9">
                  <c:v>220.99126305457787</c:v>
                </c:pt>
                <c:pt idx="10">
                  <c:v>220.68711448716763</c:v>
                </c:pt>
                <c:pt idx="11">
                  <c:v>220.38380196376195</c:v>
                </c:pt>
                <c:pt idx="12">
                  <c:v>220.0813220419137</c:v>
                </c:pt>
                <c:pt idx="13">
                  <c:v>219.77967129804912</c:v>
                </c:pt>
                <c:pt idx="14">
                  <c:v>219.47884632733866</c:v>
                </c:pt>
                <c:pt idx="15">
                  <c:v>219.1788437435688</c:v>
                </c:pt>
                <c:pt idx="16">
                  <c:v>218.87966017901493</c:v>
                </c:pt>
                <c:pt idx="17">
                  <c:v>218.58129228431557</c:v>
                </c:pt>
                <c:pt idx="18">
                  <c:v>218.28373672834715</c:v>
                </c:pt>
                <c:pt idx="19">
                  <c:v>217.98699019810013</c:v>
                </c:pt>
                <c:pt idx="20">
                  <c:v>217.6910493985561</c:v>
                </c:pt>
              </c:numCache>
            </c:numRef>
          </c:val>
          <c:smooth val="1"/>
        </c:ser>
        <c:marker val="1"/>
        <c:axId val="51565646"/>
        <c:axId val="61437631"/>
      </c:lineChart>
      <c:catAx>
        <c:axId val="51565646"/>
        <c:scaling>
          <c:orientation val="minMax"/>
        </c:scaling>
        <c:axPos val="b"/>
        <c:title>
          <c:tx>
            <c:rich>
              <a:bodyPr vert="horz" rot="0" anchor="ctr"/>
              <a:lstStyle/>
              <a:p>
                <a:pPr algn="ctr">
                  <a:defRPr/>
                </a:pPr>
                <a:r>
                  <a:rPr lang="en-US" cap="none" sz="800" b="1" i="0" u="none" baseline="0">
                    <a:solidFill>
                      <a:srgbClr val="000000"/>
                    </a:solidFill>
                  </a:rPr>
                  <a:t>quantity of Good #1</a:t>
                </a:r>
              </a:p>
            </c:rich>
          </c:tx>
          <c:layout>
            <c:manualLayout>
              <c:xMode val="factor"/>
              <c:yMode val="factor"/>
              <c:x val="-0.0095"/>
              <c:y val="0"/>
            </c:manualLayout>
          </c:layout>
          <c:overlay val="0"/>
          <c:spPr>
            <a:noFill/>
            <a:ln>
              <a:noFill/>
            </a:ln>
          </c:spPr>
        </c:title>
        <c:delete val="0"/>
        <c:numFmt formatCode="General" sourceLinked="1"/>
        <c:majorTickMark val="out"/>
        <c:minorTickMark val="out"/>
        <c:tickLblPos val="nextTo"/>
        <c:txPr>
          <a:bodyPr vert="horz" rot="0"/>
          <a:lstStyle/>
          <a:p>
            <a:pPr>
              <a:defRPr lang="en-US" cap="none" sz="800" b="1" i="0" u="none" baseline="0">
                <a:solidFill>
                  <a:srgbClr val="000000"/>
                </a:solidFill>
              </a:defRPr>
            </a:pPr>
          </a:p>
        </c:txPr>
        <c:crossAx val="61437631"/>
        <c:crossesAt val="200"/>
        <c:auto val="1"/>
        <c:lblOffset val="100"/>
        <c:tickLblSkip val="4"/>
        <c:noMultiLvlLbl val="0"/>
      </c:catAx>
      <c:valAx>
        <c:axId val="61437631"/>
        <c:scaling>
          <c:orientation val="minMax"/>
          <c:max val="240"/>
          <c:min val="200"/>
        </c:scaling>
        <c:axPos val="l"/>
        <c:title>
          <c:tx>
            <c:rich>
              <a:bodyPr vert="horz" rot="-5400000" anchor="ctr"/>
              <a:lstStyle/>
              <a:p>
                <a:pPr algn="ctr">
                  <a:defRPr/>
                </a:pPr>
                <a:r>
                  <a:rPr lang="en-US" cap="none" sz="800" b="1" i="0" u="none" baseline="0">
                    <a:solidFill>
                      <a:srgbClr val="000000"/>
                    </a:solidFill>
                  </a:rPr>
                  <a:t>price of Good #2</a:t>
                </a:r>
              </a:p>
            </c:rich>
          </c:tx>
          <c:layout>
            <c:manualLayout>
              <c:xMode val="factor"/>
              <c:yMode val="factor"/>
              <c:x val="-0.004"/>
              <c:y val="0.00225"/>
            </c:manualLayout>
          </c:layout>
          <c:overlay val="0"/>
          <c:spPr>
            <a:noFill/>
            <a:ln>
              <a:noFill/>
            </a:ln>
          </c:spPr>
        </c:title>
        <c:delete val="0"/>
        <c:numFmt formatCode="0" sourceLinked="0"/>
        <c:majorTickMark val="out"/>
        <c:minorTickMark val="out"/>
        <c:tickLblPos val="nextTo"/>
        <c:txPr>
          <a:bodyPr vert="horz" rot="0"/>
          <a:lstStyle/>
          <a:p>
            <a:pPr>
              <a:defRPr lang="en-US" cap="none" sz="800" b="1" i="0" u="none" baseline="0">
                <a:solidFill>
                  <a:srgbClr val="000000"/>
                </a:solidFill>
              </a:defRPr>
            </a:pPr>
          </a:p>
        </c:txPr>
        <c:crossAx val="51565646"/>
        <c:crossesAt val="1"/>
        <c:crossBetween val="midCat"/>
        <c:dispUnits/>
        <c:majorUnit val="10"/>
        <c:minorUnit val="5"/>
      </c:valAx>
      <c:spPr>
        <a:pattFill prst="dotGrid">
          <a:fgClr>
            <a:srgbClr val="808080"/>
          </a:fgClr>
          <a:bgClr>
            <a:srgbClr val="C0C0C0"/>
          </a:bgClr>
        </a:pattFill>
        <a:ln w="3175">
          <a:noFill/>
        </a:ln>
      </c:spPr>
    </c:plotArea>
    <c:legend>
      <c:legendPos val="r"/>
      <c:layout>
        <c:manualLayout>
          <c:xMode val="edge"/>
          <c:yMode val="edge"/>
          <c:x val="0.8185"/>
          <c:y val="0.576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C0C0C0"/>
    </a:solidFill>
    <a:ln w="3175">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05375"/>
          <c:w val="0.8595"/>
          <c:h val="0.853"/>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Series!$G$8:$G$38</c:f>
              <c:numCache>
                <c:ptCount val="31"/>
                <c:pt idx="0">
                  <c:v>0.1083767742562387</c:v>
                </c:pt>
                <c:pt idx="1">
                  <c:v>0.10327619589781856</c:v>
                </c:pt>
                <c:pt idx="2">
                  <c:v>0.10401945968102821</c:v>
                </c:pt>
                <c:pt idx="3">
                  <c:v>0.10428928239194724</c:v>
                </c:pt>
                <c:pt idx="4">
                  <c:v>0.1043019663173328</c:v>
                </c:pt>
                <c:pt idx="5">
                  <c:v>0.10428209495561824</c:v>
                </c:pt>
                <c:pt idx="6">
                  <c:v>0.10425854914088517</c:v>
                </c:pt>
                <c:pt idx="7">
                  <c:v>0.10424739049443121</c:v>
                </c:pt>
                <c:pt idx="8">
                  <c:v>0.10424816688183092</c:v>
                </c:pt>
                <c:pt idx="9">
                  <c:v>0.10425585920296232</c:v>
                </c:pt>
                <c:pt idx="10">
                  <c:v>0.10426631503620687</c:v>
                </c:pt>
                <c:pt idx="11">
                  <c:v>0.10427698679277286</c:v>
                </c:pt>
                <c:pt idx="12">
                  <c:v>0.10428661002243356</c:v>
                </c:pt>
                <c:pt idx="13">
                  <c:v>0.10429471255316414</c:v>
                </c:pt>
                <c:pt idx="14">
                  <c:v>0.10430123953583825</c:v>
                </c:pt>
                <c:pt idx="15">
                  <c:v>0.10430632819970609</c:v>
                </c:pt>
                <c:pt idx="16">
                  <c:v>0.10431018740812381</c:v>
                </c:pt>
                <c:pt idx="17">
                  <c:v>0.10431303798990066</c:v>
                </c:pt>
                <c:pt idx="18">
                  <c:v>0.10431508533790645</c:v>
                </c:pt>
                <c:pt idx="19">
                  <c:v>0.1043165084208757</c:v>
                </c:pt>
                <c:pt idx="20">
                  <c:v>0.10431745697616024</c:v>
                </c:pt>
                <c:pt idx="21">
                  <c:v>0.1043180526769163</c:v>
                </c:pt>
                <c:pt idx="22">
                  <c:v>0.10431839209605376</c:v>
                </c:pt>
                <c:pt idx="23">
                  <c:v>0.10431855031849158</c:v>
                </c:pt>
                <c:pt idx="24">
                  <c:v>0.10431858459554966</c:v>
                </c:pt>
                <c:pt idx="25">
                  <c:v>0.10431853773357869</c:v>
                </c:pt>
                <c:pt idx="26">
                  <c:v>0.10431844107786437</c:v>
                </c:pt>
                <c:pt idx="27">
                  <c:v>0.10431831704885197</c:v>
                </c:pt>
                <c:pt idx="28">
                  <c:v>0.10431818124089709</c:v>
                </c:pt>
                <c:pt idx="29">
                  <c:v>0.10431804412136225</c:v>
                </c:pt>
                <c:pt idx="30">
                  <c:v>0.10431795196144433</c:v>
                </c:pt>
              </c:numCache>
            </c:numRef>
          </c:val>
          <c:smooth val="1"/>
        </c:ser>
        <c:marker val="1"/>
        <c:axId val="16067768"/>
        <c:axId val="10392185"/>
      </c:lineChart>
      <c:lineChart>
        <c:grouping val="standard"/>
        <c:varyColors val="0"/>
        <c:ser>
          <c:idx val="0"/>
          <c:order val="1"/>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Series!$H$8:$H$38</c:f>
              <c:numCache>
                <c:ptCount val="31"/>
                <c:pt idx="0">
                  <c:v>0.46205962011560764</c:v>
                </c:pt>
                <c:pt idx="1">
                  <c:v>0.48919287873709855</c:v>
                </c:pt>
                <c:pt idx="2">
                  <c:v>0.4805491633303449</c:v>
                </c:pt>
                <c:pt idx="3">
                  <c:v>0.47715990727144597</c:v>
                </c:pt>
                <c:pt idx="4">
                  <c:v>0.4762186022853674</c:v>
                </c:pt>
                <c:pt idx="5">
                  <c:v>0.47569934127116004</c:v>
                </c:pt>
                <c:pt idx="6">
                  <c:v>0.47526919044711674</c:v>
                </c:pt>
                <c:pt idx="7">
                  <c:v>0.4747994445856369</c:v>
                </c:pt>
                <c:pt idx="8">
                  <c:v>0.4742966257976202</c:v>
                </c:pt>
                <c:pt idx="9">
                  <c:v>0.4737964312510422</c:v>
                </c:pt>
                <c:pt idx="10">
                  <c:v>0.4733249693897999</c:v>
                </c:pt>
                <c:pt idx="11">
                  <c:v>0.47289572755747517</c:v>
                </c:pt>
                <c:pt idx="12">
                  <c:v>0.472513181025689</c:v>
                </c:pt>
                <c:pt idx="13">
                  <c:v>0.4721766791192189</c:v>
                </c:pt>
                <c:pt idx="14">
                  <c:v>0.4718830874323808</c:v>
                </c:pt>
                <c:pt idx="15">
                  <c:v>0.47162827119998807</c:v>
                </c:pt>
                <c:pt idx="16">
                  <c:v>0.47140785838329335</c:v>
                </c:pt>
                <c:pt idx="17">
                  <c:v>0.47121761395421446</c:v>
                </c:pt>
                <c:pt idx="18">
                  <c:v>0.47105361479153196</c:v>
                </c:pt>
                <c:pt idx="19">
                  <c:v>0.4709123220900072</c:v>
                </c:pt>
                <c:pt idx="20">
                  <c:v>0.4707905994110562</c:v>
                </c:pt>
                <c:pt idx="21">
                  <c:v>0.47068570120213643</c:v>
                </c:pt>
                <c:pt idx="22">
                  <c:v>0.47059524557856036</c:v>
                </c:pt>
                <c:pt idx="23">
                  <c:v>0.4705171795604961</c:v>
                </c:pt>
                <c:pt idx="24">
                  <c:v>0.47044974178450844</c:v>
                </c:pt>
                <c:pt idx="25">
                  <c:v>0.4703914257339972</c:v>
                </c:pt>
                <c:pt idx="26">
                  <c:v>0.47034094524403774</c:v>
                </c:pt>
                <c:pt idx="27">
                  <c:v>0.47029720318779433</c:v>
                </c:pt>
                <c:pt idx="28">
                  <c:v>0.4702592637023286</c:v>
                </c:pt>
                <c:pt idx="29">
                  <c:v>0.47022632796762814</c:v>
                </c:pt>
                <c:pt idx="30">
                  <c:v>0.4702060732807865</c:v>
                </c:pt>
              </c:numCache>
            </c:numRef>
          </c:val>
          <c:smooth val="1"/>
        </c:ser>
        <c:marker val="1"/>
        <c:axId val="26420802"/>
        <c:axId val="36460627"/>
      </c:lineChart>
      <c:catAx>
        <c:axId val="16067768"/>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25"/>
              <c:y val="0.09625"/>
            </c:manualLayout>
          </c:layout>
          <c:overlay val="0"/>
          <c:spPr>
            <a:noFill/>
            <a:ln>
              <a:noFill/>
            </a:ln>
          </c:spPr>
        </c:title>
        <c:delete val="0"/>
        <c:numFmt formatCode="0" sourceLinked="0"/>
        <c:majorTickMark val="out"/>
        <c:minorTickMark val="out"/>
        <c:tickLblPos val="nextTo"/>
        <c:txPr>
          <a:bodyPr vert="horz" rot="0"/>
          <a:lstStyle/>
          <a:p>
            <a:pPr>
              <a:defRPr lang="en-US" cap="none" sz="800" b="1" i="0" u="none" baseline="0">
                <a:solidFill>
                  <a:srgbClr val="000000"/>
                </a:solidFill>
              </a:defRPr>
            </a:pPr>
          </a:p>
        </c:txPr>
        <c:crossAx val="10392185"/>
        <c:crossesAt val="0.095"/>
        <c:auto val="1"/>
        <c:lblOffset val="100"/>
        <c:tickLblSkip val="5"/>
        <c:noMultiLvlLbl val="0"/>
      </c:catAx>
      <c:valAx>
        <c:axId val="10392185"/>
        <c:scaling>
          <c:orientation val="minMax"/>
          <c:max val="0.11"/>
          <c:min val="0.095"/>
        </c:scaling>
        <c:axPos val="l"/>
        <c:title>
          <c:tx>
            <c:rich>
              <a:bodyPr vert="horz" rot="-5400000" anchor="ctr"/>
              <a:lstStyle/>
              <a:p>
                <a:pPr algn="ctr">
                  <a:defRPr/>
                </a:pPr>
                <a:r>
                  <a:rPr lang="en-US" cap="none" sz="800" b="1" i="0" u="none" baseline="0">
                    <a:solidFill>
                      <a:srgbClr val="800000"/>
                    </a:solidFill>
                  </a:rPr>
                  <a:t>interest rate</a:t>
                </a:r>
              </a:p>
            </c:rich>
          </c:tx>
          <c:layout/>
          <c:overlay val="0"/>
          <c:spPr>
            <a:noFill/>
            <a:ln>
              <a:noFill/>
            </a:ln>
          </c:spPr>
        </c:title>
        <c:delete val="0"/>
        <c:numFmt formatCode="0.0%" sourceLinked="0"/>
        <c:majorTickMark val="out"/>
        <c:minorTickMark val="out"/>
        <c:tickLblPos val="nextTo"/>
        <c:txPr>
          <a:bodyPr vert="horz" rot="0"/>
          <a:lstStyle/>
          <a:p>
            <a:pPr>
              <a:defRPr lang="en-US" cap="none" sz="800" b="1" i="0" u="none" baseline="0">
                <a:solidFill>
                  <a:srgbClr val="800000"/>
                </a:solidFill>
              </a:defRPr>
            </a:pPr>
          </a:p>
        </c:txPr>
        <c:crossAx val="16067768"/>
        <c:crossesAt val="1"/>
        <c:crossBetween val="midCat"/>
        <c:dispUnits/>
        <c:majorUnit val="0.0025"/>
        <c:minorUnit val="0.0005"/>
      </c:valAx>
      <c:catAx>
        <c:axId val="26420802"/>
        <c:scaling>
          <c:orientation val="minMax"/>
        </c:scaling>
        <c:axPos val="b"/>
        <c:delete val="1"/>
        <c:majorTickMark val="cross"/>
        <c:minorTickMark val="none"/>
        <c:tickLblPos val="nextTo"/>
        <c:txPr>
          <a:bodyPr vert="horz" rot="0"/>
          <a:lstStyle/>
          <a:p>
            <a:pPr>
              <a:defRPr lang="en-US" cap="none" sz="800" b="1" i="0" u="none" baseline="0">
                <a:solidFill>
                  <a:srgbClr val="000000"/>
                </a:solidFill>
              </a:defRPr>
            </a:pPr>
          </a:p>
        </c:txPr>
        <c:crossAx val="36460627"/>
        <c:crossesAt val="0.4"/>
        <c:auto val="1"/>
        <c:lblOffset val="100"/>
        <c:noMultiLvlLbl val="0"/>
      </c:catAx>
      <c:valAx>
        <c:axId val="36460627"/>
        <c:scaling>
          <c:orientation val="minMax"/>
          <c:max val="0.6"/>
          <c:min val="0.4"/>
        </c:scaling>
        <c:axPos val="l"/>
        <c:title>
          <c:tx>
            <c:rich>
              <a:bodyPr vert="horz" rot="-5400000" anchor="ctr"/>
              <a:lstStyle/>
              <a:p>
                <a:pPr algn="ctr">
                  <a:defRPr/>
                </a:pPr>
                <a:r>
                  <a:rPr lang="en-US" cap="none" sz="800" b="1" i="0" u="none" baseline="0"/>
                  <a:t>currency value</a:t>
                </a:r>
              </a:p>
            </c:rich>
          </c:tx>
          <c:layout>
            <c:manualLayout>
              <c:xMode val="factor"/>
              <c:yMode val="factor"/>
              <c:x val="-0.0065"/>
              <c:y val="-0.002"/>
            </c:manualLayout>
          </c:layout>
          <c:overlay val="0"/>
          <c:spPr>
            <a:noFill/>
            <a:ln>
              <a:noFill/>
            </a:ln>
          </c:spPr>
        </c:title>
        <c:delete val="0"/>
        <c:numFmt formatCode="0.00" sourceLinked="0"/>
        <c:majorTickMark val="out"/>
        <c:minorTickMark val="out"/>
        <c:tickLblPos val="nextTo"/>
        <c:txPr>
          <a:bodyPr vert="horz" rot="0"/>
          <a:lstStyle/>
          <a:p>
            <a:pPr>
              <a:defRPr lang="en-US" cap="none" sz="800" b="1" i="0" u="none" baseline="0"/>
            </a:pPr>
          </a:p>
        </c:txPr>
        <c:crossAx val="26420802"/>
        <c:crosses val="max"/>
        <c:crossBetween val="midCat"/>
        <c:dispUnits/>
        <c:majorUnit val="0.05"/>
        <c:minorUnit val="0.01"/>
      </c:valAx>
      <c:spPr>
        <a:pattFill prst="dotGrid">
          <a:fgClr>
            <a:srgbClr val="808080"/>
          </a:fgClr>
          <a:bgClr>
            <a:srgbClr val="C0C0C0"/>
          </a:bgClr>
        </a:pattFill>
        <a:ln w="3175">
          <a:noFill/>
        </a:ln>
      </c:spPr>
    </c:plotArea>
    <c:plotVisOnly val="1"/>
    <c:dispBlanksAs val="gap"/>
    <c:showDLblsOverMax val="0"/>
  </c:chart>
  <c:spPr>
    <a:solidFill>
      <a:srgbClr val="C0C0C0"/>
    </a:solidFill>
    <a:ln w="3175">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year</a:t>
            </a:r>
          </a:p>
        </c:rich>
      </c:tx>
      <c:layout>
        <c:manualLayout>
          <c:xMode val="factor"/>
          <c:yMode val="factor"/>
          <c:x val="0.3425"/>
          <c:y val="0.9185"/>
        </c:manualLayout>
      </c:layout>
      <c:spPr>
        <a:noFill/>
        <a:ln>
          <a:noFill/>
        </a:ln>
      </c:spPr>
    </c:title>
    <c:plotArea>
      <c:layout>
        <c:manualLayout>
          <c:xMode val="edge"/>
          <c:yMode val="edge"/>
          <c:x val="0.06525"/>
          <c:y val="0.093"/>
          <c:w val="0.8265"/>
          <c:h val="0.85775"/>
        </c:manualLayout>
      </c:layout>
      <c:lineChart>
        <c:grouping val="standard"/>
        <c:varyColors val="0"/>
        <c:ser>
          <c:idx val="0"/>
          <c:order val="0"/>
          <c:tx>
            <c:strRef>
              <c:f>Series!$D$7</c:f>
              <c:strCache>
                <c:ptCount val="1"/>
                <c:pt idx="0">
                  <c:v>Y2</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Series!$D$8:$D$38</c:f>
              <c:numCache>
                <c:ptCount val="31"/>
                <c:pt idx="0">
                  <c:v>770.4111776899963</c:v>
                </c:pt>
                <c:pt idx="1">
                  <c:v>824.8255788044307</c:v>
                </c:pt>
                <c:pt idx="2">
                  <c:v>832.7054207682722</c:v>
                </c:pt>
                <c:pt idx="3">
                  <c:v>836.2139519210441</c:v>
                </c:pt>
                <c:pt idx="4">
                  <c:v>838.6343858889986</c:v>
                </c:pt>
                <c:pt idx="5">
                  <c:v>840.0800516099489</c:v>
                </c:pt>
                <c:pt idx="6">
                  <c:v>840.9268104587582</c:v>
                </c:pt>
                <c:pt idx="7">
                  <c:v>841.4357559545933</c:v>
                </c:pt>
                <c:pt idx="8">
                  <c:v>841.7592677818357</c:v>
                </c:pt>
                <c:pt idx="9">
                  <c:v>841.9826431338897</c:v>
                </c:pt>
                <c:pt idx="10">
                  <c:v>842.1507799796545</c:v>
                </c:pt>
                <c:pt idx="11">
                  <c:v>842.2867470087922</c:v>
                </c:pt>
                <c:pt idx="12">
                  <c:v>842.402321004738</c:v>
                </c:pt>
                <c:pt idx="13">
                  <c:v>842.5035265654096</c:v>
                </c:pt>
                <c:pt idx="14">
                  <c:v>842.5935084611056</c:v>
                </c:pt>
                <c:pt idx="15">
                  <c:v>842.6740040428904</c:v>
                </c:pt>
                <c:pt idx="16">
                  <c:v>842.7460870849645</c:v>
                </c:pt>
                <c:pt idx="17">
                  <c:v>842.8105336417639</c:v>
                </c:pt>
                <c:pt idx="18">
                  <c:v>842.867993409498</c:v>
                </c:pt>
                <c:pt idx="19">
                  <c:v>842.9190632357322</c:v>
                </c:pt>
                <c:pt idx="20">
                  <c:v>842.9643134237531</c:v>
                </c:pt>
                <c:pt idx="21">
                  <c:v>843.0042929136989</c:v>
                </c:pt>
                <c:pt idx="22">
                  <c:v>843.0395263487007</c:v>
                </c:pt>
                <c:pt idx="23">
                  <c:v>843.0705091677592</c:v>
                </c:pt>
                <c:pt idx="24">
                  <c:v>843.0977033461613</c:v>
                </c:pt>
                <c:pt idx="25">
                  <c:v>843.121534666876</c:v>
                </c:pt>
                <c:pt idx="26">
                  <c:v>843.1423916038102</c:v>
                </c:pt>
                <c:pt idx="27">
                  <c:v>843.1606255714523</c:v>
                </c:pt>
                <c:pt idx="28">
                  <c:v>843.176552201824</c:v>
                </c:pt>
                <c:pt idx="29">
                  <c:v>843.1904533213983</c:v>
                </c:pt>
                <c:pt idx="30">
                  <c:v>843.1990324636381</c:v>
                </c:pt>
              </c:numCache>
            </c:numRef>
          </c:val>
          <c:smooth val="1"/>
        </c:ser>
        <c:ser>
          <c:idx val="1"/>
          <c:order val="1"/>
          <c:tx>
            <c:strRef>
              <c:f>Series!$E$7</c:f>
              <c:strCache>
                <c:ptCount val="1"/>
                <c:pt idx="0">
                  <c:v>S2</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Series!$E$8:$E$38</c:f>
              <c:numCache>
                <c:ptCount val="31"/>
                <c:pt idx="0">
                  <c:v>770.4111776899965</c:v>
                </c:pt>
                <c:pt idx="1">
                  <c:v>824.8255788044305</c:v>
                </c:pt>
                <c:pt idx="2">
                  <c:v>832.7054207682723</c:v>
                </c:pt>
                <c:pt idx="3">
                  <c:v>836.2139519210443</c:v>
                </c:pt>
                <c:pt idx="4">
                  <c:v>838.6343858889986</c:v>
                </c:pt>
                <c:pt idx="5">
                  <c:v>840.0800516099489</c:v>
                </c:pt>
                <c:pt idx="6">
                  <c:v>840.9268104587582</c:v>
                </c:pt>
                <c:pt idx="7">
                  <c:v>841.435755954593</c:v>
                </c:pt>
                <c:pt idx="8">
                  <c:v>841.7592677818357</c:v>
                </c:pt>
                <c:pt idx="9">
                  <c:v>841.9826431338897</c:v>
                </c:pt>
                <c:pt idx="10">
                  <c:v>842.1507799796544</c:v>
                </c:pt>
                <c:pt idx="11">
                  <c:v>842.2867470087922</c:v>
                </c:pt>
                <c:pt idx="12">
                  <c:v>842.402321004738</c:v>
                </c:pt>
                <c:pt idx="13">
                  <c:v>842.5035265654096</c:v>
                </c:pt>
                <c:pt idx="14">
                  <c:v>842.5935084611058</c:v>
                </c:pt>
                <c:pt idx="15">
                  <c:v>842.6740040428904</c:v>
                </c:pt>
                <c:pt idx="16">
                  <c:v>842.7460870849644</c:v>
                </c:pt>
                <c:pt idx="17">
                  <c:v>842.8105336417639</c:v>
                </c:pt>
                <c:pt idx="18">
                  <c:v>842.8679934094976</c:v>
                </c:pt>
                <c:pt idx="19">
                  <c:v>842.919063235732</c:v>
                </c:pt>
                <c:pt idx="20">
                  <c:v>842.9643134237527</c:v>
                </c:pt>
                <c:pt idx="21">
                  <c:v>843.0042929136987</c:v>
                </c:pt>
                <c:pt idx="22">
                  <c:v>843.0395263487005</c:v>
                </c:pt>
                <c:pt idx="23">
                  <c:v>843.0705091677594</c:v>
                </c:pt>
                <c:pt idx="24">
                  <c:v>843.0977033461613</c:v>
                </c:pt>
                <c:pt idx="25">
                  <c:v>843.1215346668763</c:v>
                </c:pt>
                <c:pt idx="26">
                  <c:v>843.1423916038107</c:v>
                </c:pt>
                <c:pt idx="27">
                  <c:v>843.1606255714527</c:v>
                </c:pt>
                <c:pt idx="28">
                  <c:v>843.1765522018243</c:v>
                </c:pt>
                <c:pt idx="29">
                  <c:v>843.1904533213984</c:v>
                </c:pt>
                <c:pt idx="30">
                  <c:v>843.1990324636381</c:v>
                </c:pt>
              </c:numCache>
            </c:numRef>
          </c:val>
          <c:smooth val="1"/>
        </c:ser>
        <c:ser>
          <c:idx val="2"/>
          <c:order val="2"/>
          <c:tx>
            <c:strRef>
              <c:f>Series!$F$7</c:f>
              <c:strCache>
                <c:ptCount val="1"/>
                <c:pt idx="0">
                  <c:v>D2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Series!$F$8:$F$38</c:f>
              <c:numCache>
                <c:ptCount val="31"/>
                <c:pt idx="0">
                  <c:v>870.4346570720226</c:v>
                </c:pt>
                <c:pt idx="1">
                  <c:v>904.863499285956</c:v>
                </c:pt>
                <c:pt idx="2">
                  <c:v>881.5231610079453</c:v>
                </c:pt>
                <c:pt idx="3">
                  <c:v>869.2724758931437</c:v>
                </c:pt>
                <c:pt idx="4">
                  <c:v>860.5756123642111</c:v>
                </c:pt>
                <c:pt idx="5">
                  <c:v>855.2754999538296</c:v>
                </c:pt>
                <c:pt idx="6">
                  <c:v>852.2468818421307</c:v>
                </c:pt>
                <c:pt idx="7">
                  <c:v>850.4179106959918</c:v>
                </c:pt>
                <c:pt idx="8">
                  <c:v>849.223704286649</c:v>
                </c:pt>
                <c:pt idx="9">
                  <c:v>848.372692168102</c:v>
                </c:pt>
                <c:pt idx="10">
                  <c:v>847.7155220104371</c:v>
                </c:pt>
                <c:pt idx="11">
                  <c:v>847.1760234595981</c:v>
                </c:pt>
                <c:pt idx="12">
                  <c:v>846.7146918934586</c:v>
                </c:pt>
                <c:pt idx="13">
                  <c:v>846.3106295443193</c:v>
                </c:pt>
                <c:pt idx="14">
                  <c:v>845.9524137308292</c:v>
                </c:pt>
                <c:pt idx="15">
                  <c:v>845.6333622270784</c:v>
                </c:pt>
                <c:pt idx="16">
                  <c:v>845.3490828456643</c:v>
                </c:pt>
                <c:pt idx="17">
                  <c:v>845.0962403020103</c:v>
                </c:pt>
                <c:pt idx="18">
                  <c:v>844.8719716590635</c:v>
                </c:pt>
                <c:pt idx="19">
                  <c:v>844.6736372931655</c:v>
                </c:pt>
                <c:pt idx="20">
                  <c:v>844.4987354798459</c:v>
                </c:pt>
                <c:pt idx="21">
                  <c:v>844.3448890972811</c:v>
                </c:pt>
                <c:pt idx="22">
                  <c:v>844.2098582173672</c:v>
                </c:pt>
                <c:pt idx="23">
                  <c:v>844.0915570208278</c:v>
                </c:pt>
                <c:pt idx="24">
                  <c:v>843.9880663091126</c:v>
                </c:pt>
                <c:pt idx="25">
                  <c:v>843.8976391682063</c:v>
                </c:pt>
                <c:pt idx="26">
                  <c:v>843.818700136241</c:v>
                </c:pt>
                <c:pt idx="27">
                  <c:v>843.7498392553273</c:v>
                </c:pt>
                <c:pt idx="28">
                  <c:v>843.6898025764781</c:v>
                </c:pt>
                <c:pt idx="29">
                  <c:v>843.6374805163164</c:v>
                </c:pt>
                <c:pt idx="30">
                  <c:v>843.6052239479827</c:v>
                </c:pt>
              </c:numCache>
            </c:numRef>
          </c:val>
          <c:smooth val="1"/>
        </c:ser>
        <c:marker val="1"/>
        <c:axId val="59710188"/>
        <c:axId val="520781"/>
      </c:lineChart>
      <c:catAx>
        <c:axId val="59710188"/>
        <c:scaling>
          <c:orientation val="minMax"/>
        </c:scaling>
        <c:axPos val="b"/>
        <c:delete val="0"/>
        <c:numFmt formatCode="0" sourceLinked="0"/>
        <c:majorTickMark val="out"/>
        <c:minorTickMark val="out"/>
        <c:tickLblPos val="nextTo"/>
        <c:txPr>
          <a:bodyPr vert="horz" rot="0"/>
          <a:lstStyle/>
          <a:p>
            <a:pPr>
              <a:defRPr lang="en-US" cap="none" sz="800" b="1" i="0" u="none" baseline="0">
                <a:solidFill>
                  <a:srgbClr val="000000"/>
                </a:solidFill>
              </a:defRPr>
            </a:pPr>
          </a:p>
        </c:txPr>
        <c:crossAx val="520781"/>
        <c:crossesAt val="700"/>
        <c:auto val="1"/>
        <c:lblOffset val="100"/>
        <c:tickLblSkip val="5"/>
        <c:noMultiLvlLbl val="0"/>
      </c:catAx>
      <c:valAx>
        <c:axId val="520781"/>
        <c:scaling>
          <c:orientation val="minMax"/>
          <c:max val="900"/>
          <c:min val="700"/>
        </c:scaling>
        <c:axPos val="l"/>
        <c:title>
          <c:tx>
            <c:rich>
              <a:bodyPr vert="horz" rot="-5400000" anchor="ctr"/>
              <a:lstStyle/>
              <a:p>
                <a:pPr algn="ctr">
                  <a:defRPr/>
                </a:pPr>
                <a:r>
                  <a:rPr lang="en-US" cap="none" sz="800" b="1" i="0" u="none" baseline="0">
                    <a:solidFill>
                      <a:srgbClr val="000000"/>
                    </a:solidFill>
                  </a:rPr>
                  <a:t>quantity of Good #2 per year</a:t>
                </a:r>
              </a:p>
            </c:rich>
          </c:tx>
          <c:layout>
            <c:manualLayout>
              <c:xMode val="factor"/>
              <c:yMode val="factor"/>
              <c:x val="-0.00575"/>
              <c:y val="-0.001"/>
            </c:manualLayout>
          </c:layout>
          <c:overlay val="0"/>
          <c:spPr>
            <a:noFill/>
            <a:ln>
              <a:noFill/>
            </a:ln>
          </c:spPr>
        </c:title>
        <c:delete val="0"/>
        <c:numFmt formatCode="0" sourceLinked="0"/>
        <c:majorTickMark val="out"/>
        <c:minorTickMark val="out"/>
        <c:tickLblPos val="nextTo"/>
        <c:txPr>
          <a:bodyPr vert="horz" rot="0"/>
          <a:lstStyle/>
          <a:p>
            <a:pPr>
              <a:defRPr lang="en-US" cap="none" sz="800" b="1" i="0" u="none" baseline="0">
                <a:solidFill>
                  <a:srgbClr val="000000"/>
                </a:solidFill>
              </a:defRPr>
            </a:pPr>
          </a:p>
        </c:txPr>
        <c:crossAx val="59710188"/>
        <c:crossesAt val="1"/>
        <c:crossBetween val="midCat"/>
        <c:dispUnits/>
        <c:majorUnit val="50"/>
        <c:minorUnit val="10"/>
      </c:valAx>
      <c:spPr>
        <a:pattFill prst="dotGrid">
          <a:fgClr>
            <a:srgbClr val="808080"/>
          </a:fgClr>
          <a:bgClr>
            <a:srgbClr val="C0C0C0"/>
          </a:bgClr>
        </a:pattFill>
        <a:ln w="3175">
          <a:noFill/>
        </a:ln>
      </c:spPr>
    </c:plotArea>
    <c:legend>
      <c:legendPos val="r"/>
      <c:layout>
        <c:manualLayout>
          <c:xMode val="edge"/>
          <c:yMode val="edge"/>
          <c:x val="0.8715"/>
          <c:y val="0.4215"/>
          <c:w val="0.106"/>
          <c:h val="0.151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C0C0C0"/>
    </a:solidFill>
    <a:ln w="3175">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47625</xdr:rowOff>
    </xdr:from>
    <xdr:to>
      <xdr:col>12</xdr:col>
      <xdr:colOff>200025</xdr:colOff>
      <xdr:row>111</xdr:row>
      <xdr:rowOff>133350</xdr:rowOff>
    </xdr:to>
    <xdr:sp fLocksText="0">
      <xdr:nvSpPr>
        <xdr:cNvPr id="1" name="Text 1"/>
        <xdr:cNvSpPr txBox="1">
          <a:spLocks noChangeArrowheads="1"/>
        </xdr:cNvSpPr>
      </xdr:nvSpPr>
      <xdr:spPr>
        <a:xfrm>
          <a:off x="1304925" y="390525"/>
          <a:ext cx="7124700" cy="18773775"/>
        </a:xfrm>
        <a:prstGeom prst="rect">
          <a:avLst/>
        </a:prstGeom>
        <a:noFill/>
        <a:ln w="9525" cmpd="sng">
          <a:noFill/>
        </a:ln>
      </xdr:spPr>
      <xdr:txBody>
        <a:bodyPr vertOverflow="clip" wrap="square" lIns="20160" tIns="20160" rIns="20160" bIns="20160"/>
        <a:p>
          <a:pPr algn="l">
            <a:defRPr/>
          </a:pPr>
          <a:r>
            <a:rPr lang="en-US" cap="none" sz="1200" b="1" i="0" u="none" baseline="0"/>
            <a:t>Print this sheet -- it explains the other sheets.
This workbook embodies a certain SFEcon theory of economic adjustment that is explicated at www.sfecon.com. It is written in Excel 2003. The workbook contains VBasic programs that will alert anti-virus software. Upon opening, your ‘security setting’ must be no higher than ‘medium’ when the workbook is loaded, and macros must be ‘enabled’ in order to run the programs. 
The M0.3.2.1 workbook operates on a 5 x 5 economic matrix representing a 'Class Warfare' economy: Sectors 1, 2, and 3 produce the economy's three economic goods; and Sectors 5 and 6 are households. 
The ‘1 DT’ sheet displays a matrix transformation by which an economic state is advanced across one differential element of time. State variables embody 1) the physical holdings of a commodity by a sector, and 2) money in the forms of either capital invested or savings accumulated. State variables are highlighted in background shades of blue and green. All matrices used by the algorithm are associated with data names that are explicated through the Glossary Page at sfecon.com.
The pattern of computations proceeds from left to right, down, and back from right to left. This pattern begins with the model's current state and ends with its next state. These computations have reference to parameters describing 1) the commodities’ turnover rates , and 2) the sectors’ production and utility tradeoffs. Parameters are highlighted in background shades of lavender and purple, and are grouped at the top of ‘1 DT’. The algorithm’s computations terminate in an instantaneous rate of change for each state variable. Rates are highlighted in background shades of yellow.
Rates are integrated with the system’s current state by simple application of Euler’s rule in order to compute the system’s next state. Passage of one differential time period is accomplished by overlaying the values of the current state with the values computed for the next state. Time's passage is emulated by a macro that recursively overlays 'current states' with 'next states' using Excel’s 'paste values' command. 
Simulation controls are located on the left side of ‘1 DT’. These are comprised in a few buttons and simulation parameters. All the simulation parameters, TIME, DT, PER, and SIMLEN are measured in years. The SIMLEN parameter can be changed at will to alter the period to be simulated. Other parameters should NOT require alteration. 
The ‘Reinitiate’ button sets the model to its equilibrium state and clears any data generated by prior experiments. This button must be clicked in the process of preparing to run each new simulation.
The ‘Plastic’, ‘Elastic’, and ‘Monetary’ buttons give the experimenter a set of options with which to stimulate the model. ‘Plastic’ is currently set to suddenly make Sector 2 a more efficient user of its inputs. ‘Elastic’ is currently set to suddenly create an excess of Sector 2's product. ‘Monetary’ suddenly increases the capital stock.
The ‘Simulate Time’ button launches an experiment, which stops automatically after tracing the model’s adjustment to the imposed stimuli through time. This process creates graphically advancing time series as it advances TIME through the requisite number of DT's needed to arrive at the specified length of simulation SIMLEN. The process stops automatically when SIMLEN is reached, having sampled the time series generated at intervals defined by PER. This requires only a few seconds, after which control returns to Excel.
To run your first simulation, click on ‘Reinitiate’, then on ‘Plastic’, and then on 'Simulate Time'.
The ‘Graphs’ sheet contains the charts that record the simulation. These charts will typically need to have their vertical scales adjusted for the sake of a final presentation.
The ‘Series’ sheet records the time series data generated by an experiment.
The ‘GPE’ sheet computes the model's inital equilibrium prices. Initial utility and production tradeoffs are computed on the 'Utility' sheet. Initiation is completed by computation of initial state variables on the 'IState' sheet. The model recurs to these sheets when the experimenter requests that the model be reinitiated.
</a:t>
          </a:r>
        </a:p>
      </xdr:txBody>
    </xdr:sp>
    <xdr:clientData/>
  </xdr:twoCellAnchor>
  <xdr:twoCellAnchor>
    <xdr:from>
      <xdr:col>0</xdr:col>
      <xdr:colOff>152400</xdr:colOff>
      <xdr:row>1</xdr:row>
      <xdr:rowOff>152400</xdr:rowOff>
    </xdr:from>
    <xdr:to>
      <xdr:col>1</xdr:col>
      <xdr:colOff>276225</xdr:colOff>
      <xdr:row>6</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152400" y="323850"/>
          <a:ext cx="809625" cy="847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152400</xdr:rowOff>
    </xdr:from>
    <xdr:to>
      <xdr:col>1</xdr:col>
      <xdr:colOff>685800</xdr:colOff>
      <xdr:row>8</xdr:row>
      <xdr:rowOff>171450</xdr:rowOff>
    </xdr:to>
    <xdr:sp>
      <xdr:nvSpPr>
        <xdr:cNvPr id="1" name="Rectangle 2256"/>
        <xdr:cNvSpPr>
          <a:spLocks/>
        </xdr:cNvSpPr>
      </xdr:nvSpPr>
      <xdr:spPr>
        <a:xfrm>
          <a:off x="323850" y="495300"/>
          <a:ext cx="1047750" cy="1047750"/>
        </a:xfrm>
        <a:prstGeom prst="round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0</xdr:col>
      <xdr:colOff>438150</xdr:colOff>
      <xdr:row>3</xdr:row>
      <xdr:rowOff>114300</xdr:rowOff>
    </xdr:from>
    <xdr:to>
      <xdr:col>1</xdr:col>
      <xdr:colOff>552450</xdr:colOff>
      <xdr:row>8</xdr:row>
      <xdr:rowOff>76200</xdr:rowOff>
    </xdr:to>
    <xdr:pic>
      <xdr:nvPicPr>
        <xdr:cNvPr id="2" name="Picture 2257"/>
        <xdr:cNvPicPr preferRelativeResize="1">
          <a:picLocks noChangeAspect="1"/>
        </xdr:cNvPicPr>
      </xdr:nvPicPr>
      <xdr:blipFill>
        <a:blip r:embed="rId1"/>
        <a:stretch>
          <a:fillRect/>
        </a:stretch>
      </xdr:blipFill>
      <xdr:spPr>
        <a:xfrm>
          <a:off x="438150" y="628650"/>
          <a:ext cx="800100" cy="819150"/>
        </a:xfrm>
        <a:prstGeom prst="rect">
          <a:avLst/>
        </a:prstGeom>
        <a:blipFill>
          <a:blip r:embed=""/>
          <a:srcRect/>
          <a:stretch>
            <a:fillRect/>
          </a:stretch>
        </a:blipFill>
        <a:ln w="9525" cmpd="sng">
          <a:noFill/>
        </a:ln>
      </xdr:spPr>
    </xdr:pic>
    <xdr:clientData/>
  </xdr:twoCellAnchor>
  <xdr:twoCellAnchor>
    <xdr:from>
      <xdr:col>18</xdr:col>
      <xdr:colOff>352425</xdr:colOff>
      <xdr:row>14</xdr:row>
      <xdr:rowOff>57150</xdr:rowOff>
    </xdr:from>
    <xdr:to>
      <xdr:col>49</xdr:col>
      <xdr:colOff>381000</xdr:colOff>
      <xdr:row>14</xdr:row>
      <xdr:rowOff>57150</xdr:rowOff>
    </xdr:to>
    <xdr:sp>
      <xdr:nvSpPr>
        <xdr:cNvPr id="3" name="Line 2280"/>
        <xdr:cNvSpPr>
          <a:spLocks/>
        </xdr:cNvSpPr>
      </xdr:nvSpPr>
      <xdr:spPr>
        <a:xfrm flipH="1">
          <a:off x="10458450" y="2457450"/>
          <a:ext cx="17259300" cy="0"/>
        </a:xfrm>
        <a:prstGeom prst="line">
          <a:avLst/>
        </a:prstGeom>
        <a:noFill/>
        <a:ln w="9360" cmpd="sng">
          <a:solidFill>
            <a:srgbClr val="8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18</xdr:col>
      <xdr:colOff>352425</xdr:colOff>
      <xdr:row>14</xdr:row>
      <xdr:rowOff>57150</xdr:rowOff>
    </xdr:from>
    <xdr:to>
      <xdr:col>18</xdr:col>
      <xdr:colOff>352425</xdr:colOff>
      <xdr:row>121</xdr:row>
      <xdr:rowOff>114300</xdr:rowOff>
    </xdr:to>
    <xdr:sp>
      <xdr:nvSpPr>
        <xdr:cNvPr id="4" name="Line 2280"/>
        <xdr:cNvSpPr>
          <a:spLocks/>
        </xdr:cNvSpPr>
      </xdr:nvSpPr>
      <xdr:spPr>
        <a:xfrm rot="16200000" flipH="1">
          <a:off x="10458450" y="2457450"/>
          <a:ext cx="0" cy="18421350"/>
        </a:xfrm>
        <a:prstGeom prst="line">
          <a:avLst/>
        </a:prstGeom>
        <a:noFill/>
        <a:ln w="9360" cmpd="sng">
          <a:solidFill>
            <a:srgbClr val="8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24</xdr:row>
      <xdr:rowOff>133350</xdr:rowOff>
    </xdr:from>
    <xdr:to>
      <xdr:col>7</xdr:col>
      <xdr:colOff>200025</xdr:colOff>
      <xdr:row>43</xdr:row>
      <xdr:rowOff>76200</xdr:rowOff>
    </xdr:to>
    <xdr:graphicFrame>
      <xdr:nvGraphicFramePr>
        <xdr:cNvPr id="1" name="Chart 1"/>
        <xdr:cNvGraphicFramePr/>
      </xdr:nvGraphicFramePr>
      <xdr:xfrm>
        <a:off x="104775" y="4305300"/>
        <a:ext cx="4895850" cy="3200400"/>
      </xdr:xfrm>
      <a:graphic>
        <a:graphicData uri="http://schemas.openxmlformats.org/drawingml/2006/chart">
          <c:chart xmlns:c="http://schemas.openxmlformats.org/drawingml/2006/chart" r:id="rId1"/>
        </a:graphicData>
      </a:graphic>
    </xdr:graphicFrame>
    <xdr:clientData/>
  </xdr:twoCellAnchor>
  <xdr:twoCellAnchor>
    <xdr:from>
      <xdr:col>7</xdr:col>
      <xdr:colOff>209550</xdr:colOff>
      <xdr:row>24</xdr:row>
      <xdr:rowOff>76200</xdr:rowOff>
    </xdr:from>
    <xdr:to>
      <xdr:col>14</xdr:col>
      <xdr:colOff>9525</xdr:colOff>
      <xdr:row>43</xdr:row>
      <xdr:rowOff>28575</xdr:rowOff>
    </xdr:to>
    <xdr:graphicFrame>
      <xdr:nvGraphicFramePr>
        <xdr:cNvPr id="2" name="Chart 2"/>
        <xdr:cNvGraphicFramePr/>
      </xdr:nvGraphicFramePr>
      <xdr:xfrm>
        <a:off x="5010150" y="4248150"/>
        <a:ext cx="4600575" cy="3209925"/>
      </xdr:xfrm>
      <a:graphic>
        <a:graphicData uri="http://schemas.openxmlformats.org/drawingml/2006/chart">
          <c:chart xmlns:c="http://schemas.openxmlformats.org/drawingml/2006/chart" r:id="rId2"/>
        </a:graphicData>
      </a:graphic>
    </xdr:graphicFrame>
    <xdr:clientData/>
  </xdr:twoCellAnchor>
  <xdr:twoCellAnchor>
    <xdr:from>
      <xdr:col>7</xdr:col>
      <xdr:colOff>57150</xdr:colOff>
      <xdr:row>5</xdr:row>
      <xdr:rowOff>38100</xdr:rowOff>
    </xdr:from>
    <xdr:to>
      <xdr:col>14</xdr:col>
      <xdr:colOff>19050</xdr:colOff>
      <xdr:row>24</xdr:row>
      <xdr:rowOff>38100</xdr:rowOff>
    </xdr:to>
    <xdr:graphicFrame>
      <xdr:nvGraphicFramePr>
        <xdr:cNvPr id="3" name="Chart 3"/>
        <xdr:cNvGraphicFramePr/>
      </xdr:nvGraphicFramePr>
      <xdr:xfrm>
        <a:off x="4857750" y="952500"/>
        <a:ext cx="4762500" cy="325755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4</xdr:row>
      <xdr:rowOff>19050</xdr:rowOff>
    </xdr:from>
    <xdr:to>
      <xdr:col>7</xdr:col>
      <xdr:colOff>57150</xdr:colOff>
      <xdr:row>23</xdr:row>
      <xdr:rowOff>123825</xdr:rowOff>
    </xdr:to>
    <xdr:graphicFrame>
      <xdr:nvGraphicFramePr>
        <xdr:cNvPr id="4" name="Chart 5"/>
        <xdr:cNvGraphicFramePr/>
      </xdr:nvGraphicFramePr>
      <xdr:xfrm>
        <a:off x="104775" y="762000"/>
        <a:ext cx="4752975" cy="3362325"/>
      </xdr:xfrm>
      <a:graphic>
        <a:graphicData uri="http://schemas.openxmlformats.org/drawingml/2006/chart">
          <c:chart xmlns:c="http://schemas.openxmlformats.org/drawingml/2006/chart" r:id="rId4"/>
        </a:graphicData>
      </a:graphic>
    </xdr:graphicFrame>
    <xdr:clientData/>
  </xdr:twoCellAnchor>
  <xdr:twoCellAnchor>
    <xdr:from>
      <xdr:col>14</xdr:col>
      <xdr:colOff>523875</xdr:colOff>
      <xdr:row>1</xdr:row>
      <xdr:rowOff>104775</xdr:rowOff>
    </xdr:from>
    <xdr:to>
      <xdr:col>16</xdr:col>
      <xdr:colOff>314325</xdr:colOff>
      <xdr:row>7</xdr:row>
      <xdr:rowOff>161925</xdr:rowOff>
    </xdr:to>
    <xdr:sp>
      <xdr:nvSpPr>
        <xdr:cNvPr id="5" name="Rectangle 11"/>
        <xdr:cNvSpPr>
          <a:spLocks/>
        </xdr:cNvSpPr>
      </xdr:nvSpPr>
      <xdr:spPr>
        <a:xfrm>
          <a:off x="10125075" y="276225"/>
          <a:ext cx="1162050" cy="1143000"/>
        </a:xfrm>
        <a:prstGeom prst="round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638175</xdr:colOff>
      <xdr:row>2</xdr:row>
      <xdr:rowOff>9525</xdr:rowOff>
    </xdr:from>
    <xdr:to>
      <xdr:col>16</xdr:col>
      <xdr:colOff>142875</xdr:colOff>
      <xdr:row>7</xdr:row>
      <xdr:rowOff>76200</xdr:rowOff>
    </xdr:to>
    <xdr:pic>
      <xdr:nvPicPr>
        <xdr:cNvPr id="6" name="Picture 12"/>
        <xdr:cNvPicPr preferRelativeResize="1">
          <a:picLocks noChangeAspect="1"/>
        </xdr:cNvPicPr>
      </xdr:nvPicPr>
      <xdr:blipFill>
        <a:blip r:embed="rId5"/>
        <a:stretch>
          <a:fillRect/>
        </a:stretch>
      </xdr:blipFill>
      <xdr:spPr>
        <a:xfrm>
          <a:off x="10239375" y="352425"/>
          <a:ext cx="876300" cy="9810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57150</xdr:rowOff>
    </xdr:from>
    <xdr:to>
      <xdr:col>14</xdr:col>
      <xdr:colOff>266700</xdr:colOff>
      <xdr:row>31</xdr:row>
      <xdr:rowOff>85725</xdr:rowOff>
    </xdr:to>
    <xdr:sp>
      <xdr:nvSpPr>
        <xdr:cNvPr id="1" name="Rectangle 13"/>
        <xdr:cNvSpPr>
          <a:spLocks/>
        </xdr:cNvSpPr>
      </xdr:nvSpPr>
      <xdr:spPr>
        <a:xfrm>
          <a:off x="704850" y="542925"/>
          <a:ext cx="8362950" cy="4562475"/>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editAs="oneCell">
    <xdr:from>
      <xdr:col>0</xdr:col>
      <xdr:colOff>438150</xdr:colOff>
      <xdr:row>27</xdr:row>
      <xdr:rowOff>123825</xdr:rowOff>
    </xdr:from>
    <xdr:to>
      <xdr:col>2</xdr:col>
      <xdr:colOff>190500</xdr:colOff>
      <xdr:row>32</xdr:row>
      <xdr:rowOff>38100</xdr:rowOff>
    </xdr:to>
    <xdr:pic>
      <xdr:nvPicPr>
        <xdr:cNvPr id="2" name="Price"/>
        <xdr:cNvPicPr preferRelativeResize="1">
          <a:picLocks noChangeAspect="1"/>
        </xdr:cNvPicPr>
      </xdr:nvPicPr>
      <xdr:blipFill>
        <a:blip r:embed="rId1"/>
        <a:stretch>
          <a:fillRect/>
        </a:stretch>
      </xdr:blipFill>
      <xdr:spPr>
        <a:xfrm>
          <a:off x="438150" y="4495800"/>
          <a:ext cx="95250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57150</xdr:rowOff>
    </xdr:from>
    <xdr:to>
      <xdr:col>14</xdr:col>
      <xdr:colOff>47625</xdr:colOff>
      <xdr:row>28</xdr:row>
      <xdr:rowOff>104775</xdr:rowOff>
    </xdr:to>
    <xdr:sp>
      <xdr:nvSpPr>
        <xdr:cNvPr id="1" name="Rectangle 9"/>
        <xdr:cNvSpPr>
          <a:spLocks/>
        </xdr:cNvSpPr>
      </xdr:nvSpPr>
      <xdr:spPr>
        <a:xfrm>
          <a:off x="619125" y="571500"/>
          <a:ext cx="7829550" cy="4381500"/>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editAs="oneCell">
    <xdr:from>
      <xdr:col>0</xdr:col>
      <xdr:colOff>352425</xdr:colOff>
      <xdr:row>25</xdr:row>
      <xdr:rowOff>142875</xdr:rowOff>
    </xdr:from>
    <xdr:to>
      <xdr:col>2</xdr:col>
      <xdr:colOff>219075</xdr:colOff>
      <xdr:row>29</xdr:row>
      <xdr:rowOff>161925</xdr:rowOff>
    </xdr:to>
    <xdr:pic>
      <xdr:nvPicPr>
        <xdr:cNvPr id="2" name="Utility"/>
        <xdr:cNvPicPr preferRelativeResize="1">
          <a:picLocks noChangeAspect="1"/>
        </xdr:cNvPicPr>
      </xdr:nvPicPr>
      <xdr:blipFill>
        <a:blip r:embed="rId1"/>
        <a:stretch>
          <a:fillRect/>
        </a:stretch>
      </xdr:blipFill>
      <xdr:spPr>
        <a:xfrm>
          <a:off x="352425" y="4476750"/>
          <a:ext cx="981075" cy="704850"/>
        </a:xfrm>
        <a:prstGeom prst="rect">
          <a:avLst/>
        </a:prstGeom>
        <a:noFill/>
        <a:ln w="9525" cmpd="sng">
          <a:noFill/>
        </a:ln>
      </xdr:spPr>
    </xdr:pic>
    <xdr:clientData/>
  </xdr:twoCellAnchor>
  <xdr:twoCellAnchor editAs="oneCell">
    <xdr:from>
      <xdr:col>17</xdr:col>
      <xdr:colOff>333375</xdr:colOff>
      <xdr:row>49</xdr:row>
      <xdr:rowOff>104775</xdr:rowOff>
    </xdr:from>
    <xdr:to>
      <xdr:col>22</xdr:col>
      <xdr:colOff>676275</xdr:colOff>
      <xdr:row>53</xdr:row>
      <xdr:rowOff>0</xdr:rowOff>
    </xdr:to>
    <xdr:pic>
      <xdr:nvPicPr>
        <xdr:cNvPr id="3" name="Picture 9"/>
        <xdr:cNvPicPr preferRelativeResize="1">
          <a:picLocks noChangeAspect="1"/>
        </xdr:cNvPicPr>
      </xdr:nvPicPr>
      <xdr:blipFill>
        <a:blip r:embed="rId2"/>
        <a:stretch>
          <a:fillRect/>
        </a:stretch>
      </xdr:blipFill>
      <xdr:spPr>
        <a:xfrm>
          <a:off x="10791825" y="8591550"/>
          <a:ext cx="3790950" cy="581025"/>
        </a:xfrm>
        <a:prstGeom prst="rect">
          <a:avLst/>
        </a:prstGeom>
        <a:noFill/>
        <a:ln w="9525" cmpd="sng">
          <a:noFill/>
        </a:ln>
      </xdr:spPr>
    </xdr:pic>
    <xdr:clientData/>
  </xdr:twoCellAnchor>
  <xdr:twoCellAnchor editAs="oneCell">
    <xdr:from>
      <xdr:col>3</xdr:col>
      <xdr:colOff>514350</xdr:colOff>
      <xdr:row>48</xdr:row>
      <xdr:rowOff>133350</xdr:rowOff>
    </xdr:from>
    <xdr:to>
      <xdr:col>10</xdr:col>
      <xdr:colOff>504825</xdr:colOff>
      <xdr:row>53</xdr:row>
      <xdr:rowOff>114300</xdr:rowOff>
    </xdr:to>
    <xdr:pic>
      <xdr:nvPicPr>
        <xdr:cNvPr id="4" name="Picture 10"/>
        <xdr:cNvPicPr preferRelativeResize="1">
          <a:picLocks noChangeAspect="1"/>
        </xdr:cNvPicPr>
      </xdr:nvPicPr>
      <xdr:blipFill>
        <a:blip r:embed="rId3"/>
        <a:stretch>
          <a:fillRect/>
        </a:stretch>
      </xdr:blipFill>
      <xdr:spPr>
        <a:xfrm>
          <a:off x="2314575" y="8448675"/>
          <a:ext cx="4533900" cy="838200"/>
        </a:xfrm>
        <a:prstGeom prst="rect">
          <a:avLst/>
        </a:prstGeom>
        <a:noFill/>
        <a:ln w="9525" cmpd="sng">
          <a:noFill/>
        </a:ln>
      </xdr:spPr>
    </xdr:pic>
    <xdr:clientData/>
  </xdr:twoCellAnchor>
  <xdr:twoCellAnchor editAs="oneCell">
    <xdr:from>
      <xdr:col>17</xdr:col>
      <xdr:colOff>19050</xdr:colOff>
      <xdr:row>2</xdr:row>
      <xdr:rowOff>28575</xdr:rowOff>
    </xdr:from>
    <xdr:to>
      <xdr:col>23</xdr:col>
      <xdr:colOff>561975</xdr:colOff>
      <xdr:row>21</xdr:row>
      <xdr:rowOff>95250</xdr:rowOff>
    </xdr:to>
    <xdr:pic>
      <xdr:nvPicPr>
        <xdr:cNvPr id="5" name="Picture 11"/>
        <xdr:cNvPicPr preferRelativeResize="1">
          <a:picLocks noChangeAspect="1"/>
        </xdr:cNvPicPr>
      </xdr:nvPicPr>
      <xdr:blipFill>
        <a:blip r:embed="rId4"/>
        <a:stretch>
          <a:fillRect/>
        </a:stretch>
      </xdr:blipFill>
      <xdr:spPr>
        <a:xfrm>
          <a:off x="10477500" y="371475"/>
          <a:ext cx="4676775" cy="3362325"/>
        </a:xfrm>
        <a:prstGeom prst="rect">
          <a:avLst/>
        </a:prstGeom>
        <a:noFill/>
        <a:ln w="9525" cmpd="sng">
          <a:noFill/>
        </a:ln>
      </xdr:spPr>
    </xdr:pic>
    <xdr:clientData/>
  </xdr:twoCellAnchor>
  <xdr:twoCellAnchor editAs="oneCell">
    <xdr:from>
      <xdr:col>16</xdr:col>
      <xdr:colOff>666750</xdr:colOff>
      <xdr:row>23</xdr:row>
      <xdr:rowOff>142875</xdr:rowOff>
    </xdr:from>
    <xdr:to>
      <xdr:col>23</xdr:col>
      <xdr:colOff>533400</xdr:colOff>
      <xdr:row>45</xdr:row>
      <xdr:rowOff>38100</xdr:rowOff>
    </xdr:to>
    <xdr:pic>
      <xdr:nvPicPr>
        <xdr:cNvPr id="6" name="Picture 12"/>
        <xdr:cNvPicPr preferRelativeResize="1">
          <a:picLocks noChangeAspect="1"/>
        </xdr:cNvPicPr>
      </xdr:nvPicPr>
      <xdr:blipFill>
        <a:blip r:embed="rId5"/>
        <a:stretch>
          <a:fillRect/>
        </a:stretch>
      </xdr:blipFill>
      <xdr:spPr>
        <a:xfrm>
          <a:off x="10439400" y="4124325"/>
          <a:ext cx="4686300" cy="3714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114300</xdr:rowOff>
    </xdr:from>
    <xdr:to>
      <xdr:col>14</xdr:col>
      <xdr:colOff>266700</xdr:colOff>
      <xdr:row>16</xdr:row>
      <xdr:rowOff>161925</xdr:rowOff>
    </xdr:to>
    <xdr:sp>
      <xdr:nvSpPr>
        <xdr:cNvPr id="1" name="Rectangle 2"/>
        <xdr:cNvSpPr>
          <a:spLocks/>
        </xdr:cNvSpPr>
      </xdr:nvSpPr>
      <xdr:spPr>
        <a:xfrm>
          <a:off x="790575" y="1143000"/>
          <a:ext cx="6924675" cy="1762125"/>
        </a:xfrm>
        <a:prstGeom prst="round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1">
    <pageSetUpPr fitToPage="1"/>
  </sheetPr>
  <dimension ref="A2:AX183"/>
  <sheetViews>
    <sheetView showGridLines="0" workbookViewId="0" topLeftCell="A1">
      <pane xSplit="3" topLeftCell="D1" activePane="topRight" state="frozen"/>
      <selection pane="topLeft" activeCell="A1" sqref="A1"/>
      <selection pane="topRight" activeCell="D3" sqref="D3"/>
    </sheetView>
  </sheetViews>
  <sheetFormatPr defaultColWidth="9.00390625" defaultRowHeight="13.5"/>
  <cols>
    <col min="1" max="2" width="9.00390625" style="246" customWidth="1"/>
    <col min="3" max="3" width="3.125" style="246" customWidth="1"/>
    <col min="4" max="5" width="9.00390625" style="302" customWidth="1"/>
    <col min="6" max="6" width="3.125" style="302" customWidth="1"/>
    <col min="7" max="7" width="9.00390625" style="302" customWidth="1"/>
    <col min="8" max="8" width="3.125" style="302" customWidth="1"/>
    <col min="10" max="10" width="3.125" style="0" customWidth="1"/>
    <col min="17" max="17" width="3.125" style="0" customWidth="1"/>
    <col min="21" max="21" width="3.125" style="0" customWidth="1"/>
    <col min="23" max="23" width="3.125" style="0" customWidth="1"/>
    <col min="30" max="30" width="3.125" style="0" customWidth="1"/>
    <col min="32" max="32" width="3.125" style="0" customWidth="1"/>
    <col min="36" max="36" width="3.125" style="0" customWidth="1"/>
    <col min="38" max="38" width="3.125" style="0" customWidth="1"/>
    <col min="45" max="45" width="3.125" style="0" customWidth="1"/>
    <col min="47" max="47" width="3.125" style="0" customWidth="1"/>
    <col min="49" max="49" width="3.125" style="0" customWidth="1"/>
    <col min="51" max="16384" width="9.625" style="0" customWidth="1"/>
  </cols>
  <sheetData>
    <row r="2" spans="1:50" ht="13.5">
      <c r="A2" s="318"/>
      <c r="B2" s="318"/>
      <c r="C2" s="318"/>
      <c r="D2" s="319"/>
      <c r="E2" s="319"/>
      <c r="F2" s="319"/>
      <c r="G2" s="319"/>
      <c r="H2" s="319"/>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row>
    <row r="3" spans="1:50" ht="13.5" customHeight="1">
      <c r="A3" s="318"/>
      <c r="B3" s="318"/>
      <c r="C3" s="318"/>
      <c r="D3" s="319"/>
      <c r="E3" s="319"/>
      <c r="F3" s="319"/>
      <c r="G3" s="319"/>
      <c r="H3" s="319"/>
      <c r="I3" s="317"/>
      <c r="J3" s="317"/>
      <c r="K3" s="317"/>
      <c r="L3" s="317"/>
      <c r="M3" s="317"/>
      <c r="N3" s="317"/>
      <c r="O3" s="317"/>
      <c r="P3" s="317"/>
      <c r="Q3" s="317"/>
      <c r="R3" s="317"/>
      <c r="S3" s="317"/>
      <c r="T3" s="317"/>
      <c r="U3" s="317"/>
      <c r="AD3" s="317"/>
      <c r="AE3" s="317"/>
      <c r="AF3" s="317"/>
      <c r="AG3" s="317"/>
      <c r="AH3" s="317"/>
      <c r="AI3" s="317"/>
      <c r="AJ3" s="317"/>
      <c r="AK3" s="317"/>
      <c r="AL3" s="317"/>
      <c r="AM3" s="317"/>
      <c r="AN3" s="317"/>
      <c r="AO3" s="317"/>
      <c r="AP3" s="317"/>
      <c r="AQ3" s="317"/>
      <c r="AR3" s="317"/>
      <c r="AS3" s="317"/>
      <c r="AT3" s="317"/>
      <c r="AU3" s="317"/>
      <c r="AV3" s="317"/>
      <c r="AW3" s="317"/>
      <c r="AX3" s="317"/>
    </row>
    <row r="4" spans="1:49" ht="13.5" customHeight="1">
      <c r="A4" s="318"/>
      <c r="B4" s="318"/>
      <c r="C4" s="318"/>
      <c r="D4" s="319"/>
      <c r="AW4" s="317"/>
    </row>
    <row r="5" spans="1:49" ht="13.5" customHeight="1" thickBot="1">
      <c r="A5" s="318"/>
      <c r="B5" s="318"/>
      <c r="C5" s="318"/>
      <c r="D5" s="317"/>
      <c r="E5" s="317"/>
      <c r="F5" s="317"/>
      <c r="G5" s="317"/>
      <c r="R5" s="317"/>
      <c r="S5" s="317"/>
      <c r="T5" s="317"/>
      <c r="U5" s="317"/>
      <c r="W5" s="317"/>
      <c r="X5" s="317"/>
      <c r="Y5" s="317"/>
      <c r="Z5" s="317"/>
      <c r="AA5" s="317"/>
      <c r="AB5" s="317"/>
      <c r="AC5" s="317"/>
      <c r="AD5" s="317"/>
      <c r="AE5" s="317"/>
      <c r="AF5" s="317"/>
      <c r="AG5" s="317"/>
      <c r="AH5" s="317"/>
      <c r="AJ5" s="317"/>
      <c r="AL5" s="317"/>
      <c r="AM5" s="2"/>
      <c r="AN5" s="3">
        <f>-SUM(AN7:AN12)</f>
        <v>-2265.721962335442</v>
      </c>
      <c r="AO5" s="4">
        <f>-SUM(AO7:AO12)</f>
        <v>-19147.59402731929</v>
      </c>
      <c r="AP5" s="5">
        <f>-SUM(AP7:AP12)</f>
        <v>-86639.00528099501</v>
      </c>
      <c r="AQ5" s="4">
        <f>-SUM(AQ7:AQ12)</f>
        <v>-2604.2309880078633</v>
      </c>
      <c r="AR5" s="5">
        <f>-SUM(AR7:AR12)</f>
        <v>-150859.78694041798</v>
      </c>
      <c r="AS5" s="317"/>
      <c r="AU5" s="317"/>
      <c r="AV5" s="317"/>
      <c r="AW5" s="317"/>
    </row>
    <row r="6" spans="1:49" ht="13.5" customHeight="1">
      <c r="A6" s="318"/>
      <c r="B6" s="318"/>
      <c r="C6" s="318"/>
      <c r="D6" s="317"/>
      <c r="E6" s="317"/>
      <c r="F6" s="317"/>
      <c r="G6" s="317"/>
      <c r="T6" s="317"/>
      <c r="U6" s="317"/>
      <c r="V6" s="317"/>
      <c r="W6" s="320" t="s">
        <v>86</v>
      </c>
      <c r="X6" s="10" t="s">
        <v>3</v>
      </c>
      <c r="Y6" s="10" t="s">
        <v>4</v>
      </c>
      <c r="Z6" s="10">
        <v>2</v>
      </c>
      <c r="AA6" s="10">
        <v>3</v>
      </c>
      <c r="AB6" s="10" t="s">
        <v>0</v>
      </c>
      <c r="AC6" s="10" t="s">
        <v>1</v>
      </c>
      <c r="AD6" s="317"/>
      <c r="AE6" s="317"/>
      <c r="AF6" s="317"/>
      <c r="AG6" s="317"/>
      <c r="AH6" s="317"/>
      <c r="AJ6" s="317"/>
      <c r="AL6" s="132" t="s">
        <v>83</v>
      </c>
      <c r="AM6" s="10" t="s">
        <v>3</v>
      </c>
      <c r="AN6" s="10" t="s">
        <v>4</v>
      </c>
      <c r="AO6" s="10">
        <v>2</v>
      </c>
      <c r="AP6" s="10">
        <v>3</v>
      </c>
      <c r="AQ6" s="10" t="s">
        <v>0</v>
      </c>
      <c r="AR6" s="10" t="s">
        <v>1</v>
      </c>
      <c r="AS6" s="474" t="s">
        <v>113</v>
      </c>
      <c r="AT6" s="96" t="s">
        <v>18</v>
      </c>
      <c r="AU6" s="96"/>
      <c r="AV6" s="513" t="s">
        <v>18</v>
      </c>
      <c r="AW6" s="317"/>
    </row>
    <row r="7" spans="1:49" ht="13.5" customHeight="1">
      <c r="A7" s="318"/>
      <c r="B7" s="318"/>
      <c r="C7" s="318"/>
      <c r="D7" s="317"/>
      <c r="E7" s="317"/>
      <c r="F7" s="317"/>
      <c r="G7" s="317"/>
      <c r="J7" s="492" t="s">
        <v>202</v>
      </c>
      <c r="T7" s="317"/>
      <c r="U7" s="317"/>
      <c r="V7" s="321"/>
      <c r="W7" s="10" t="s">
        <v>3</v>
      </c>
      <c r="X7" s="321"/>
      <c r="Y7" s="20">
        <f aca="true" t="shared" si="0" ref="Y7:AA12">SIGN(AN7)</f>
        <v>1</v>
      </c>
      <c r="Z7" s="21">
        <f t="shared" si="0"/>
        <v>1</v>
      </c>
      <c r="AA7" s="22">
        <f t="shared" si="0"/>
        <v>1</v>
      </c>
      <c r="AB7" s="229">
        <v>0</v>
      </c>
      <c r="AC7" s="230">
        <v>0</v>
      </c>
      <c r="AD7" s="10" t="s">
        <v>3</v>
      </c>
      <c r="AE7" s="321"/>
      <c r="AF7" s="378"/>
      <c r="AG7" s="378"/>
      <c r="AH7" s="378"/>
      <c r="AJ7" s="399"/>
      <c r="AL7" s="10" t="s">
        <v>3</v>
      </c>
      <c r="AM7" s="14"/>
      <c r="AN7" s="15">
        <v>709.0221284339551</v>
      </c>
      <c r="AO7" s="16">
        <v>5415.796956152251</v>
      </c>
      <c r="AP7" s="17">
        <v>22353.6525901587</v>
      </c>
      <c r="AQ7" s="234">
        <v>876</v>
      </c>
      <c r="AR7" s="235">
        <v>8766</v>
      </c>
      <c r="AS7" s="10" t="s">
        <v>3</v>
      </c>
      <c r="AT7" s="282">
        <f>AE22+AT22</f>
        <v>-1710481.2964609212</v>
      </c>
      <c r="AU7" s="379"/>
      <c r="AV7" s="464">
        <f>Utility!F37</f>
        <v>-1747827.2771790111</v>
      </c>
      <c r="AW7" s="500" t="s">
        <v>3</v>
      </c>
    </row>
    <row r="8" spans="1:49" ht="13.5" customHeight="1">
      <c r="A8" s="318"/>
      <c r="B8" s="318"/>
      <c r="C8" s="318"/>
      <c r="D8" s="317"/>
      <c r="E8" s="317"/>
      <c r="F8" s="317"/>
      <c r="G8" s="317"/>
      <c r="V8" s="323">
        <f>Y7-X8</f>
        <v>6</v>
      </c>
      <c r="W8" s="10" t="s">
        <v>4</v>
      </c>
      <c r="X8" s="289">
        <f>-SUM(Y8:AC8)</f>
        <v>-5</v>
      </c>
      <c r="Y8" s="29">
        <f t="shared" si="0"/>
        <v>1</v>
      </c>
      <c r="Z8" s="29">
        <f t="shared" si="0"/>
        <v>1</v>
      </c>
      <c r="AA8" s="30">
        <f t="shared" si="0"/>
        <v>1</v>
      </c>
      <c r="AB8" s="31">
        <f aca="true" t="shared" si="1" ref="AB8:AC12">SIGN(AQ8)</f>
        <v>1</v>
      </c>
      <c r="AC8" s="30">
        <f t="shared" si="1"/>
        <v>1</v>
      </c>
      <c r="AD8" s="10" t="s">
        <v>4</v>
      </c>
      <c r="AE8" s="345">
        <f>1/(1-X8)</f>
        <v>0.16666666666666666</v>
      </c>
      <c r="AF8" s="103"/>
      <c r="AG8" s="103"/>
      <c r="AH8" s="103"/>
      <c r="AJ8" s="399"/>
      <c r="AL8" s="10" t="s">
        <v>4</v>
      </c>
      <c r="AM8" s="283"/>
      <c r="AN8" s="26">
        <v>579.0221284339551</v>
      </c>
      <c r="AO8" s="26">
        <v>5123.677044779145</v>
      </c>
      <c r="AP8" s="27">
        <v>24008.40058823428</v>
      </c>
      <c r="AQ8" s="311">
        <v>997.6057641876246</v>
      </c>
      <c r="AR8" s="312">
        <v>56314.333992346816</v>
      </c>
      <c r="AS8" s="10" t="s">
        <v>4</v>
      </c>
      <c r="AT8" s="322">
        <f>AN7</f>
        <v>709.0221284339551</v>
      </c>
      <c r="AU8" s="253"/>
      <c r="AV8" s="508">
        <f>Utility!G37</f>
        <v>709.0221284339551</v>
      </c>
      <c r="AW8" s="500" t="s">
        <v>4</v>
      </c>
    </row>
    <row r="9" spans="1:49" ht="13.5" customHeight="1">
      <c r="A9" s="318"/>
      <c r="B9" s="318"/>
      <c r="C9" s="318"/>
      <c r="E9"/>
      <c r="F9"/>
      <c r="G9" s="319"/>
      <c r="H9" s="319"/>
      <c r="V9" s="325">
        <f>Z7-X9</f>
        <v>6</v>
      </c>
      <c r="W9" s="10" t="s">
        <v>6</v>
      </c>
      <c r="X9" s="290">
        <f>-SUM(Y9:AC9)</f>
        <v>-5</v>
      </c>
      <c r="Y9" s="31">
        <f t="shared" si="0"/>
        <v>1</v>
      </c>
      <c r="Z9" s="31">
        <f t="shared" si="0"/>
        <v>1</v>
      </c>
      <c r="AA9" s="37">
        <f t="shared" si="0"/>
        <v>1</v>
      </c>
      <c r="AB9" s="31">
        <f t="shared" si="1"/>
        <v>1</v>
      </c>
      <c r="AC9" s="37">
        <f t="shared" si="1"/>
        <v>1</v>
      </c>
      <c r="AD9" s="10" t="s">
        <v>6</v>
      </c>
      <c r="AE9" s="347">
        <f>1/(1-X9)</f>
        <v>0.16666666666666666</v>
      </c>
      <c r="AF9" s="103"/>
      <c r="AG9" s="103"/>
      <c r="AH9" s="103"/>
      <c r="AI9" s="317"/>
      <c r="AJ9" s="317"/>
      <c r="AK9" s="429" t="s">
        <v>138</v>
      </c>
      <c r="AL9" s="10" t="s">
        <v>6</v>
      </c>
      <c r="AM9" s="284"/>
      <c r="AN9" s="28">
        <v>493.65022016908017</v>
      </c>
      <c r="AO9" s="28">
        <v>4433.704347465611</v>
      </c>
      <c r="AP9" s="36">
        <v>20427.118090464894</v>
      </c>
      <c r="AQ9" s="311">
        <v>836.6047241967684</v>
      </c>
      <c r="AR9" s="313">
        <v>47868.89871113832</v>
      </c>
      <c r="AS9" s="10" t="s">
        <v>6</v>
      </c>
      <c r="AT9" s="324">
        <f>AO7</f>
        <v>5415.796956152251</v>
      </c>
      <c r="AU9" s="253"/>
      <c r="AV9" s="508">
        <f>Utility!H37</f>
        <v>5283.704347465611</v>
      </c>
      <c r="AW9" s="500" t="s">
        <v>6</v>
      </c>
    </row>
    <row r="10" spans="1:49" ht="13.5" customHeight="1">
      <c r="A10" s="318"/>
      <c r="B10" s="318"/>
      <c r="C10" s="318"/>
      <c r="D10" s="319"/>
      <c r="V10" s="327">
        <f>AA7-X10</f>
        <v>6</v>
      </c>
      <c r="W10" s="10" t="s">
        <v>7</v>
      </c>
      <c r="X10" s="291">
        <f>-SUM(Y10:AC10)</f>
        <v>-5</v>
      </c>
      <c r="Y10" s="41">
        <f t="shared" si="0"/>
        <v>1</v>
      </c>
      <c r="Z10" s="41">
        <f t="shared" si="0"/>
        <v>1</v>
      </c>
      <c r="AA10" s="42">
        <f t="shared" si="0"/>
        <v>1</v>
      </c>
      <c r="AB10" s="31">
        <f t="shared" si="1"/>
        <v>1</v>
      </c>
      <c r="AC10" s="37">
        <f t="shared" si="1"/>
        <v>1</v>
      </c>
      <c r="AD10" s="10" t="s">
        <v>7</v>
      </c>
      <c r="AE10" s="349">
        <f>1/(1-X10)</f>
        <v>0.16666666666666666</v>
      </c>
      <c r="AF10" s="103"/>
      <c r="AG10" s="103"/>
      <c r="AH10" s="103"/>
      <c r="AI10" s="317"/>
      <c r="AJ10" s="317"/>
      <c r="AK10" s="429" t="s">
        <v>139</v>
      </c>
      <c r="AL10" s="10" t="s">
        <v>7</v>
      </c>
      <c r="AM10" s="285"/>
      <c r="AN10" s="39">
        <v>450.20355972787996</v>
      </c>
      <c r="AO10" s="39">
        <v>3960.2150158870836</v>
      </c>
      <c r="AP10" s="40">
        <v>18653.6525901587</v>
      </c>
      <c r="AQ10" s="311">
        <v>759.6559398769353</v>
      </c>
      <c r="AR10" s="313">
        <v>43341.46155502963</v>
      </c>
      <c r="AS10" s="10" t="s">
        <v>7</v>
      </c>
      <c r="AT10" s="326">
        <f>AP7</f>
        <v>22353.6525901587</v>
      </c>
      <c r="AU10" s="253"/>
      <c r="AV10" s="508">
        <f>Utility!I37</f>
        <v>22353.6525901587</v>
      </c>
      <c r="AW10" s="500" t="s">
        <v>7</v>
      </c>
    </row>
    <row r="11" spans="1:49" ht="13.5" customHeight="1">
      <c r="A11" s="318"/>
      <c r="B11" s="318"/>
      <c r="C11" s="318"/>
      <c r="D11" s="319"/>
      <c r="G11" s="53" t="s">
        <v>104</v>
      </c>
      <c r="I11" s="453" t="s">
        <v>165</v>
      </c>
      <c r="K11" s="10" t="s">
        <v>3</v>
      </c>
      <c r="L11" s="10" t="s">
        <v>4</v>
      </c>
      <c r="M11" s="10">
        <v>2</v>
      </c>
      <c r="N11" s="10">
        <v>3</v>
      </c>
      <c r="O11" s="10" t="s">
        <v>0</v>
      </c>
      <c r="P11" s="10" t="s">
        <v>1</v>
      </c>
      <c r="V11" s="273">
        <f>AB11-X11</f>
        <v>3</v>
      </c>
      <c r="W11" s="10" t="s">
        <v>0</v>
      </c>
      <c r="X11" s="270">
        <f>-SUM(Y11:AA11)-AC11</f>
        <v>-4</v>
      </c>
      <c r="Y11" s="31">
        <f t="shared" si="0"/>
        <v>1</v>
      </c>
      <c r="Z11" s="31">
        <f t="shared" si="0"/>
        <v>1</v>
      </c>
      <c r="AA11" s="31">
        <f t="shared" si="0"/>
        <v>1</v>
      </c>
      <c r="AB11" s="260">
        <f t="shared" si="1"/>
        <v>-1</v>
      </c>
      <c r="AC11" s="37">
        <f t="shared" si="1"/>
        <v>1</v>
      </c>
      <c r="AD11" s="10" t="s">
        <v>0</v>
      </c>
      <c r="AE11" s="366">
        <f>1/(1-X11)</f>
        <v>0.2</v>
      </c>
      <c r="AF11" s="103"/>
      <c r="AG11" s="103"/>
      <c r="AH11" s="103"/>
      <c r="AI11" s="317"/>
      <c r="AJ11" s="317"/>
      <c r="AK11" s="390" t="s">
        <v>146</v>
      </c>
      <c r="AL11" s="10" t="s">
        <v>0</v>
      </c>
      <c r="AM11" s="35"/>
      <c r="AN11" s="28">
        <v>17.851231892016948</v>
      </c>
      <c r="AO11" s="28">
        <v>130.87095678822328</v>
      </c>
      <c r="AP11" s="28">
        <v>641.8627332145247</v>
      </c>
      <c r="AQ11" s="382">
        <f>Zl</f>
        <v>-865.6354402534652</v>
      </c>
      <c r="AR11" s="313">
        <v>3337.273201326117</v>
      </c>
      <c r="AS11" s="10" t="s">
        <v>0</v>
      </c>
      <c r="AT11" s="305">
        <f>O12*O60</f>
        <v>-865.6354402534652</v>
      </c>
      <c r="AU11" s="12" t="s">
        <v>103</v>
      </c>
      <c r="AV11" s="508">
        <f>Utility!J41</f>
        <v>-863.245044730909</v>
      </c>
      <c r="AW11" s="500" t="s">
        <v>0</v>
      </c>
    </row>
    <row r="12" spans="1:49" ht="13.5" customHeight="1" thickBot="1">
      <c r="A12" s="318"/>
      <c r="B12" s="318"/>
      <c r="C12" s="318"/>
      <c r="D12" s="319"/>
      <c r="G12" s="245">
        <f>-I64</f>
        <v>-0.10431795196144433</v>
      </c>
      <c r="I12" s="245">
        <f>(1-1/NPV)/Term</f>
        <v>-0.13802974872677493</v>
      </c>
      <c r="K12" s="373">
        <v>1</v>
      </c>
      <c r="L12" s="328">
        <v>0.1</v>
      </c>
      <c r="M12" s="329">
        <v>0.3333333333333333</v>
      </c>
      <c r="N12" s="329">
        <v>1</v>
      </c>
      <c r="O12" s="329">
        <v>1</v>
      </c>
      <c r="P12" s="330">
        <v>1</v>
      </c>
      <c r="R12" s="438" t="s">
        <v>189</v>
      </c>
      <c r="V12" s="333">
        <f>AC12-X12</f>
        <v>2</v>
      </c>
      <c r="W12" s="10" t="s">
        <v>1</v>
      </c>
      <c r="X12" s="271">
        <f>-SUM(Y12:AA12)</f>
        <v>-3</v>
      </c>
      <c r="Y12" s="48">
        <f t="shared" si="0"/>
        <v>1</v>
      </c>
      <c r="Z12" s="48">
        <f t="shared" si="0"/>
        <v>1</v>
      </c>
      <c r="AA12" s="48">
        <f t="shared" si="0"/>
        <v>1</v>
      </c>
      <c r="AB12" s="48">
        <f t="shared" si="1"/>
        <v>0</v>
      </c>
      <c r="AC12" s="261">
        <f t="shared" si="1"/>
        <v>-1</v>
      </c>
      <c r="AD12" s="10" t="s">
        <v>1</v>
      </c>
      <c r="AE12" s="368">
        <f>1/(1-X12)</f>
        <v>0.25</v>
      </c>
      <c r="AF12" s="103"/>
      <c r="AG12" s="103"/>
      <c r="AH12" s="103"/>
      <c r="AJ12" s="399"/>
      <c r="AL12" s="10" t="s">
        <v>1</v>
      </c>
      <c r="AM12" s="45"/>
      <c r="AN12" s="46">
        <v>15.972693678554446</v>
      </c>
      <c r="AO12" s="47">
        <v>83.32970624697586</v>
      </c>
      <c r="AP12" s="47">
        <v>554.3186887639188</v>
      </c>
      <c r="AQ12" s="314">
        <v>0</v>
      </c>
      <c r="AR12" s="383">
        <f>Zn</f>
        <v>-8768.180519422884</v>
      </c>
      <c r="AS12" s="10" t="s">
        <v>1</v>
      </c>
      <c r="AT12" s="332">
        <f>P12*P60</f>
        <v>-8768.180519422884</v>
      </c>
      <c r="AU12" s="12" t="s">
        <v>122</v>
      </c>
      <c r="AV12" s="508">
        <f>Utility!K42</f>
        <v>-8725.940102356843</v>
      </c>
      <c r="AW12" s="500" t="s">
        <v>1</v>
      </c>
    </row>
    <row r="13" spans="1:50" ht="13.5" customHeight="1">
      <c r="A13" s="318"/>
      <c r="B13" s="318"/>
      <c r="C13" s="318"/>
      <c r="D13" s="319"/>
      <c r="G13" s="501">
        <f>-GPE!D26</f>
        <v>-0.1</v>
      </c>
      <c r="I13" s="501">
        <f>IState!F14</f>
        <v>-0.13553101428571446</v>
      </c>
      <c r="K13" s="12" t="s">
        <v>8</v>
      </c>
      <c r="R13" s="317"/>
      <c r="V13" s="53" t="s">
        <v>5</v>
      </c>
      <c r="W13" s="317"/>
      <c r="X13" s="53" t="s">
        <v>9</v>
      </c>
      <c r="Y13" s="317"/>
      <c r="Z13" s="317"/>
      <c r="AA13" s="317"/>
      <c r="AB13" s="317"/>
      <c r="AC13" s="317"/>
      <c r="AD13" s="317"/>
      <c r="AE13" s="431" t="s">
        <v>143</v>
      </c>
      <c r="AF13" s="431"/>
      <c r="AG13" s="431"/>
      <c r="AH13" s="431"/>
      <c r="AJ13" s="317"/>
      <c r="AL13" s="12"/>
      <c r="AS13" s="317"/>
      <c r="AV13" s="317"/>
      <c r="AW13" s="317"/>
      <c r="AX13" s="317"/>
    </row>
    <row r="14" spans="1:50" ht="13.5" customHeight="1">
      <c r="A14" s="318"/>
      <c r="B14" s="318"/>
      <c r="C14" s="318"/>
      <c r="D14" s="319"/>
      <c r="P14" s="317"/>
      <c r="Q14" s="317"/>
      <c r="R14" s="317"/>
      <c r="S14" s="317"/>
      <c r="T14" s="317"/>
      <c r="U14" s="317"/>
      <c r="AK14" s="317"/>
      <c r="AL14" s="317"/>
      <c r="AM14" s="317"/>
      <c r="AN14" s="317"/>
      <c r="AS14" s="317"/>
      <c r="AT14" s="317"/>
      <c r="AU14" s="317"/>
      <c r="AV14" s="317"/>
      <c r="AW14" s="317"/>
      <c r="AX14" s="317"/>
    </row>
    <row r="15" spans="1:50" ht="13.5" customHeight="1">
      <c r="A15" s="318"/>
      <c r="B15" s="318"/>
      <c r="C15" s="318"/>
      <c r="D15" s="319"/>
      <c r="P15" s="317"/>
      <c r="Q15" s="317"/>
      <c r="R15" s="317"/>
      <c r="S15" s="317"/>
      <c r="T15" s="317"/>
      <c r="U15" s="317"/>
      <c r="AD15" s="317"/>
      <c r="AE15" s="317"/>
      <c r="AF15" s="317"/>
      <c r="AG15" s="317"/>
      <c r="AH15" s="317"/>
      <c r="AI15" s="317"/>
      <c r="AJ15" s="317"/>
      <c r="AK15" s="317"/>
      <c r="AL15" s="317"/>
      <c r="AM15" s="317"/>
      <c r="AN15" s="317"/>
      <c r="AS15" s="317"/>
      <c r="AT15" s="317"/>
      <c r="AU15" s="317"/>
      <c r="AV15" s="317"/>
      <c r="AW15" s="317"/>
      <c r="AX15" s="317"/>
    </row>
    <row r="16" spans="1:50" ht="13.5" customHeight="1">
      <c r="A16" s="318"/>
      <c r="B16" s="318"/>
      <c r="C16" s="318"/>
      <c r="D16" s="319"/>
      <c r="M16" s="317"/>
      <c r="N16" s="317"/>
      <c r="O16" s="317"/>
      <c r="P16" s="317"/>
      <c r="Q16" s="317"/>
      <c r="R16" s="317"/>
      <c r="S16" s="317"/>
      <c r="T16" s="317"/>
      <c r="U16" s="317"/>
      <c r="W16" s="317"/>
      <c r="X16" s="10"/>
      <c r="Y16" s="10"/>
      <c r="Z16" s="10"/>
      <c r="AA16" s="10"/>
      <c r="AB16" s="10"/>
      <c r="AC16" s="10"/>
      <c r="AD16" s="317"/>
      <c r="AE16" s="317"/>
      <c r="AF16" s="317"/>
      <c r="AG16" s="317"/>
      <c r="AH16" s="317"/>
      <c r="AI16" s="317"/>
      <c r="AJ16" s="317"/>
      <c r="AL16" s="376" t="s">
        <v>101</v>
      </c>
      <c r="AM16" s="317"/>
      <c r="AN16" s="317"/>
      <c r="AO16" s="317"/>
      <c r="AP16" s="317"/>
      <c r="AQ16" s="317"/>
      <c r="AR16" s="317"/>
      <c r="AU16" s="317"/>
      <c r="AV16" s="317"/>
      <c r="AW16" s="317"/>
      <c r="AX16" s="317"/>
    </row>
    <row r="17" spans="1:50" ht="13.5" customHeight="1" thickBot="1">
      <c r="A17" s="318"/>
      <c r="B17" s="318"/>
      <c r="C17" s="318"/>
      <c r="D17" s="319"/>
      <c r="G17" s="249">
        <f>-SUM(G22:G27)</f>
        <v>0</v>
      </c>
      <c r="I17" s="249">
        <f>-SUM(I22:I27)</f>
        <v>0</v>
      </c>
      <c r="K17" s="2">
        <f aca="true" t="shared" si="2" ref="K17:P17">-K20-SUM(K22:K27)</f>
        <v>0</v>
      </c>
      <c r="L17" s="3">
        <f t="shared" si="2"/>
        <v>2.5579538487363607E-13</v>
      </c>
      <c r="M17" s="4">
        <f t="shared" si="2"/>
        <v>0</v>
      </c>
      <c r="N17" s="5">
        <f t="shared" si="2"/>
        <v>4.547473508864641E-13</v>
      </c>
      <c r="O17" s="4">
        <f t="shared" si="2"/>
        <v>1.1368683772161603E-13</v>
      </c>
      <c r="P17" s="5">
        <f t="shared" si="2"/>
        <v>0</v>
      </c>
      <c r="Q17" s="317"/>
      <c r="R17" s="438" t="s">
        <v>190</v>
      </c>
      <c r="S17" s="317"/>
      <c r="T17" s="317"/>
      <c r="U17" s="317"/>
      <c r="V17" s="249">
        <f>-SUM(V22:V27)</f>
        <v>0</v>
      </c>
      <c r="W17" s="317"/>
      <c r="X17" s="2">
        <f aca="true" t="shared" si="3" ref="X17:AC17">-X20-SUM(X22:X27)</f>
        <v>0</v>
      </c>
      <c r="Y17" s="3">
        <f t="shared" si="3"/>
        <v>2.5757174171303632E-14</v>
      </c>
      <c r="Z17" s="4">
        <f t="shared" si="3"/>
        <v>0</v>
      </c>
      <c r="AA17" s="5">
        <f t="shared" si="3"/>
        <v>4.547473508864641E-13</v>
      </c>
      <c r="AB17" s="4">
        <f t="shared" si="3"/>
        <v>1.1368683772161603E-13</v>
      </c>
      <c r="AC17" s="5">
        <f t="shared" si="3"/>
        <v>0</v>
      </c>
      <c r="AD17" s="317"/>
      <c r="AE17" s="6" t="s">
        <v>87</v>
      </c>
      <c r="AF17" s="317"/>
      <c r="AG17" s="317"/>
      <c r="AH17" s="317"/>
      <c r="AI17" s="317"/>
      <c r="AJ17" s="317"/>
      <c r="AK17" s="249">
        <f>SUM(AK73:AK77)</f>
        <v>18859858.62222705</v>
      </c>
      <c r="AL17" s="132" t="s">
        <v>83</v>
      </c>
      <c r="AM17" s="88">
        <f>SUM(X73:X77)</f>
        <v>-7157505.13962616</v>
      </c>
      <c r="AN17" s="3">
        <f>SUM(AN8:AN12)</f>
        <v>1556.6998339014867</v>
      </c>
      <c r="AO17" s="4">
        <f>SUM(AO8:AO12)</f>
        <v>13731.797071167037</v>
      </c>
      <c r="AP17" s="5">
        <f>SUM(AP8:AP12)</f>
        <v>64285.35269083631</v>
      </c>
      <c r="AQ17" s="258">
        <f>SUM(AQ8:AQ10)</f>
        <v>2593.8664282613286</v>
      </c>
      <c r="AR17" s="259">
        <f>SUM(AR8:AR11)</f>
        <v>150861.96745984087</v>
      </c>
      <c r="AS17" s="317"/>
      <c r="AW17" s="317"/>
      <c r="AX17" s="317"/>
    </row>
    <row r="18" spans="1:50" ht="13.5" customHeight="1">
      <c r="A18" s="318"/>
      <c r="B18" s="318"/>
      <c r="C18" s="318"/>
      <c r="D18" s="319"/>
      <c r="K18" s="10" t="s">
        <v>3</v>
      </c>
      <c r="L18" s="10" t="s">
        <v>4</v>
      </c>
      <c r="M18" s="10">
        <v>2</v>
      </c>
      <c r="N18" s="10">
        <v>3</v>
      </c>
      <c r="O18" s="10" t="s">
        <v>0</v>
      </c>
      <c r="P18" s="10" t="s">
        <v>1</v>
      </c>
      <c r="Q18" s="317"/>
      <c r="R18" s="428"/>
      <c r="S18" s="317"/>
      <c r="T18" s="317"/>
      <c r="U18" s="317"/>
      <c r="V18" s="317"/>
      <c r="W18" s="317"/>
      <c r="X18" s="10" t="s">
        <v>3</v>
      </c>
      <c r="Y18" s="10" t="s">
        <v>4</v>
      </c>
      <c r="Z18" s="10">
        <v>2</v>
      </c>
      <c r="AA18" s="10">
        <v>3</v>
      </c>
      <c r="AB18" s="10" t="s">
        <v>0</v>
      </c>
      <c r="AC18" s="10" t="s">
        <v>1</v>
      </c>
      <c r="AD18" s="317"/>
      <c r="AE18" s="6" t="s">
        <v>88</v>
      </c>
      <c r="AF18" s="317"/>
      <c r="AG18" s="317"/>
      <c r="AH18" s="317"/>
      <c r="AI18" s="317"/>
      <c r="AJ18" s="317"/>
      <c r="AL18" s="317"/>
      <c r="AM18" s="10" t="s">
        <v>3</v>
      </c>
      <c r="AN18" s="10" t="s">
        <v>4</v>
      </c>
      <c r="AO18" s="10">
        <v>2</v>
      </c>
      <c r="AP18" s="10">
        <v>3</v>
      </c>
      <c r="AQ18" s="10" t="s">
        <v>0</v>
      </c>
      <c r="AR18" s="10" t="s">
        <v>1</v>
      </c>
      <c r="AS18" s="317"/>
      <c r="AT18" s="317"/>
      <c r="AU18" s="317"/>
      <c r="AV18" s="317"/>
      <c r="AW18" s="317"/>
      <c r="AX18" s="317"/>
    </row>
    <row r="19" spans="1:21" ht="13.5" customHeight="1">
      <c r="A19" s="318"/>
      <c r="B19" s="318"/>
      <c r="C19" s="318"/>
      <c r="E19" s="319"/>
      <c r="F19" s="319"/>
      <c r="R19" s="428"/>
      <c r="S19" s="317"/>
      <c r="T19" s="317"/>
      <c r="U19" s="317"/>
    </row>
    <row r="20" spans="1:48" ht="13.5" customHeight="1" thickBot="1">
      <c r="A20" s="318"/>
      <c r="B20" s="318"/>
      <c r="C20" s="318"/>
      <c r="E20" s="319"/>
      <c r="F20" s="319"/>
      <c r="J20" s="317"/>
      <c r="K20" s="2">
        <f aca="true" t="shared" si="4" ref="K20:P20">K30+K40+K50</f>
        <v>0</v>
      </c>
      <c r="L20" s="3">
        <f t="shared" si="4"/>
        <v>0</v>
      </c>
      <c r="M20" s="4">
        <f t="shared" si="4"/>
        <v>0</v>
      </c>
      <c r="N20" s="5">
        <f t="shared" si="4"/>
        <v>0</v>
      </c>
      <c r="O20" s="4">
        <f t="shared" si="4"/>
        <v>0</v>
      </c>
      <c r="P20" s="5">
        <f t="shared" si="4"/>
        <v>0</v>
      </c>
      <c r="Q20" s="317"/>
      <c r="R20" s="428"/>
      <c r="S20" s="317"/>
      <c r="U20" s="317"/>
      <c r="V20" s="317"/>
      <c r="W20" s="317"/>
      <c r="X20" s="2">
        <f>V0*K20</f>
        <v>0</v>
      </c>
      <c r="Y20" s="3">
        <f>L$12*L20</f>
        <v>0</v>
      </c>
      <c r="Z20" s="4">
        <f>M$12*M20</f>
        <v>0</v>
      </c>
      <c r="AA20" s="5">
        <f>N$12*N20</f>
        <v>0</v>
      </c>
      <c r="AB20" s="4">
        <f>O$12*O20</f>
        <v>0</v>
      </c>
      <c r="AC20" s="5">
        <f>P$12*P20</f>
        <v>0</v>
      </c>
      <c r="AD20" s="317"/>
      <c r="AF20" s="317"/>
      <c r="AG20" s="317"/>
      <c r="AH20" s="317"/>
      <c r="AK20" s="317"/>
      <c r="AL20" s="317"/>
      <c r="AM20" s="2">
        <f>X70+X20</f>
        <v>8868020.065388164</v>
      </c>
      <c r="AN20" s="3">
        <f>AN5+Y20</f>
        <v>-2265.721962335442</v>
      </c>
      <c r="AO20" s="4">
        <f>AO5+Z20</f>
        <v>-19147.59402731929</v>
      </c>
      <c r="AP20" s="5">
        <f>AP5+AA20</f>
        <v>-86639.00528099501</v>
      </c>
      <c r="AQ20" s="4">
        <f>AQ5+AB20</f>
        <v>-2604.2309880078633</v>
      </c>
      <c r="AR20" s="5">
        <f>AR5+AC20</f>
        <v>-150859.78694041798</v>
      </c>
      <c r="AS20" s="317"/>
      <c r="AT20" s="317"/>
      <c r="AU20" s="317"/>
      <c r="AV20" s="428"/>
    </row>
    <row r="21" spans="1:49" ht="13.5" customHeight="1">
      <c r="A21" s="318"/>
      <c r="B21" s="318"/>
      <c r="C21" s="318"/>
      <c r="E21" s="319"/>
      <c r="G21" s="381" t="s">
        <v>106</v>
      </c>
      <c r="I21" s="381" t="s">
        <v>107</v>
      </c>
      <c r="J21" s="317"/>
      <c r="K21" s="10" t="s">
        <v>3</v>
      </c>
      <c r="L21" s="10" t="s">
        <v>4</v>
      </c>
      <c r="M21" s="10">
        <v>2</v>
      </c>
      <c r="N21" s="10">
        <v>3</v>
      </c>
      <c r="O21" s="10" t="s">
        <v>0</v>
      </c>
      <c r="P21" s="10" t="s">
        <v>1</v>
      </c>
      <c r="R21" s="428"/>
      <c r="S21" s="317"/>
      <c r="T21" s="317"/>
      <c r="U21" s="317"/>
      <c r="V21" s="59" t="s">
        <v>11</v>
      </c>
      <c r="W21" s="132" t="s">
        <v>84</v>
      </c>
      <c r="X21" s="10" t="s">
        <v>3</v>
      </c>
      <c r="Y21" s="10" t="s">
        <v>4</v>
      </c>
      <c r="Z21" s="10">
        <v>2</v>
      </c>
      <c r="AA21" s="10">
        <v>3</v>
      </c>
      <c r="AB21" s="10" t="s">
        <v>0</v>
      </c>
      <c r="AC21" s="10" t="s">
        <v>1</v>
      </c>
      <c r="AD21" s="317"/>
      <c r="AE21" s="96" t="s">
        <v>20</v>
      </c>
      <c r="AF21" s="96"/>
      <c r="AG21" s="96"/>
      <c r="AH21" s="96"/>
      <c r="AI21" s="317"/>
      <c r="AK21" s="11" t="s">
        <v>21</v>
      </c>
      <c r="AL21" s="13" t="s">
        <v>90</v>
      </c>
      <c r="AM21" s="10" t="s">
        <v>3</v>
      </c>
      <c r="AN21" s="10" t="s">
        <v>4</v>
      </c>
      <c r="AO21" s="10">
        <v>2</v>
      </c>
      <c r="AP21" s="10">
        <v>3</v>
      </c>
      <c r="AQ21" s="10" t="s">
        <v>0</v>
      </c>
      <c r="AR21" s="10" t="s">
        <v>1</v>
      </c>
      <c r="AS21" s="317"/>
      <c r="AT21" s="334" t="s">
        <v>19</v>
      </c>
      <c r="AU21" s="334"/>
      <c r="AV21" s="512" t="s">
        <v>174</v>
      </c>
      <c r="AW21" s="487"/>
    </row>
    <row r="22" spans="1:49" ht="13.5" customHeight="1">
      <c r="A22" s="318"/>
      <c r="B22" s="318"/>
      <c r="C22" s="318"/>
      <c r="F22" s="10" t="s">
        <v>3</v>
      </c>
      <c r="G22" s="391">
        <f>-SUM(G23:G27)</f>
        <v>-482215.5400475896</v>
      </c>
      <c r="H22" s="319"/>
      <c r="I22" s="391">
        <f>-SUM(I23:I27)</f>
        <v>364441.27447714825</v>
      </c>
      <c r="J22" s="10" t="s">
        <v>3</v>
      </c>
      <c r="K22" s="14">
        <f aca="true" t="shared" si="5" ref="K22:P27">K32+K42+K52</f>
        <v>309552.4676306927</v>
      </c>
      <c r="L22" s="18">
        <f t="shared" si="5"/>
        <v>-1004.0339730837397</v>
      </c>
      <c r="M22" s="64">
        <f t="shared" si="5"/>
        <v>-2529.507469384523</v>
      </c>
      <c r="N22" s="19">
        <f t="shared" si="5"/>
        <v>-3214.250544742158</v>
      </c>
      <c r="O22" s="18">
        <f t="shared" si="5"/>
        <v>-876</v>
      </c>
      <c r="P22" s="19">
        <f t="shared" si="5"/>
        <v>-8766</v>
      </c>
      <c r="Q22" s="10">
        <v>0</v>
      </c>
      <c r="R22" s="428"/>
      <c r="T22" s="317"/>
      <c r="U22" s="317"/>
      <c r="V22" s="460">
        <f aca="true" t="shared" si="6" ref="V22:V27">Nu*G22+I$12*I22</f>
        <v>0</v>
      </c>
      <c r="W22" s="10" t="s">
        <v>3</v>
      </c>
      <c r="X22" s="14">
        <f aca="true" t="shared" si="7" ref="X22:X27">V0*K22</f>
        <v>309552.4676306927</v>
      </c>
      <c r="Y22" s="18">
        <f aca="true" t="shared" si="8" ref="Y22:AC27">L$12*L22</f>
        <v>-100.40339730837398</v>
      </c>
      <c r="Z22" s="64">
        <f t="shared" si="8"/>
        <v>-843.1691564615077</v>
      </c>
      <c r="AA22" s="19">
        <f t="shared" si="8"/>
        <v>-3214.250544742158</v>
      </c>
      <c r="AB22" s="18">
        <f t="shared" si="8"/>
        <v>-876</v>
      </c>
      <c r="AC22" s="19">
        <f t="shared" si="8"/>
        <v>-8766</v>
      </c>
      <c r="AD22" s="10" t="s">
        <v>3</v>
      </c>
      <c r="AE22" s="282">
        <f>X54</f>
        <v>-309552.4676306927</v>
      </c>
      <c r="AF22" s="317"/>
      <c r="AG22" s="503">
        <f>-GPE!F14</f>
        <v>-309552.4676306927</v>
      </c>
      <c r="AH22" s="317"/>
      <c r="AI22" s="317"/>
      <c r="AJ22" s="317"/>
      <c r="AK22" s="119">
        <f>-SUM(AK23:AK27)</f>
        <v>-18859858.622227047</v>
      </c>
      <c r="AL22" s="10" t="s">
        <v>3</v>
      </c>
      <c r="AM22" s="274">
        <f>AT22</f>
        <v>-1400928.8288302284</v>
      </c>
      <c r="AN22" s="117">
        <f>AT23</f>
        <v>608.5921911923609</v>
      </c>
      <c r="AO22" s="100">
        <f>AT24</f>
        <v>4572.597923688613</v>
      </c>
      <c r="AP22" s="118">
        <f>AT25</f>
        <v>19139.370976566228</v>
      </c>
      <c r="AQ22" s="18">
        <f aca="true" t="shared" si="9" ref="AQ22:AR25">AQ7+AB22</f>
        <v>0</v>
      </c>
      <c r="AR22" s="19">
        <f t="shared" si="9"/>
        <v>0</v>
      </c>
      <c r="AS22" s="10" t="s">
        <v>3</v>
      </c>
      <c r="AT22" s="282">
        <f>-Y64*AT23-Z64*AT24-AA64*AT25-AB64*AT26-AC64*AT27</f>
        <v>-1400928.8288302284</v>
      </c>
      <c r="AU22" s="379"/>
      <c r="AV22" s="464"/>
      <c r="AW22" s="500" t="s">
        <v>3</v>
      </c>
    </row>
    <row r="23" spans="1:49" ht="13.5" customHeight="1">
      <c r="A23" s="318"/>
      <c r="B23" s="318"/>
      <c r="C23" s="318"/>
      <c r="F23" s="10" t="s">
        <v>4</v>
      </c>
      <c r="G23" s="278">
        <f>G33</f>
        <v>171062.62087004576</v>
      </c>
      <c r="H23" s="319"/>
      <c r="I23" s="278"/>
      <c r="J23" s="10" t="s">
        <v>4</v>
      </c>
      <c r="K23" s="283">
        <f t="shared" si="5"/>
        <v>-82996.70708436362</v>
      </c>
      <c r="L23" s="74">
        <f t="shared" si="5"/>
        <v>295.45260585841174</v>
      </c>
      <c r="M23" s="74">
        <f t="shared" si="5"/>
        <v>686.9165636515746</v>
      </c>
      <c r="N23" s="75">
        <f t="shared" si="5"/>
        <v>780.8488636026829</v>
      </c>
      <c r="O23" s="76">
        <f t="shared" si="5"/>
        <v>18.04054547579153</v>
      </c>
      <c r="P23" s="75">
        <f t="shared" si="5"/>
        <v>527.5050586643862</v>
      </c>
      <c r="Q23" s="10">
        <v>1</v>
      </c>
      <c r="R23" s="317"/>
      <c r="S23" s="317"/>
      <c r="V23" s="461">
        <f t="shared" si="6"/>
        <v>-17844.902266320198</v>
      </c>
      <c r="W23" s="10" t="s">
        <v>4</v>
      </c>
      <c r="X23" s="283">
        <f t="shared" si="7"/>
        <v>-82996.70708436362</v>
      </c>
      <c r="Y23" s="74">
        <f t="shared" si="8"/>
        <v>29.545260585841177</v>
      </c>
      <c r="Z23" s="74">
        <f t="shared" si="8"/>
        <v>228.9721878838582</v>
      </c>
      <c r="AA23" s="75">
        <f t="shared" si="8"/>
        <v>780.8488636026829</v>
      </c>
      <c r="AB23" s="76">
        <f t="shared" si="8"/>
        <v>18.04054547579153</v>
      </c>
      <c r="AC23" s="75">
        <f t="shared" si="8"/>
        <v>527.5050586643862</v>
      </c>
      <c r="AD23" s="10" t="s">
        <v>4</v>
      </c>
      <c r="AE23" s="322">
        <f>AT8-AT23</f>
        <v>100.42993724159419</v>
      </c>
      <c r="AG23" s="453"/>
      <c r="AH23" s="453"/>
      <c r="AI23" s="317"/>
      <c r="AJ23" s="317"/>
      <c r="AK23" s="278">
        <f>AK73+V23</f>
        <v>7066557.299938195</v>
      </c>
      <c r="AL23" s="10" t="s">
        <v>4</v>
      </c>
      <c r="AM23" s="283">
        <f>X73+X23</f>
        <v>-2768938.8141853493</v>
      </c>
      <c r="AN23" s="74">
        <f aca="true" t="shared" si="10" ref="AN23:AP27">AN8+Y23</f>
        <v>608.5673890197963</v>
      </c>
      <c r="AO23" s="74">
        <f t="shared" si="10"/>
        <v>5352.649232663003</v>
      </c>
      <c r="AP23" s="75">
        <f t="shared" si="10"/>
        <v>24789.24945183696</v>
      </c>
      <c r="AQ23" s="76">
        <f t="shared" si="9"/>
        <v>1015.6463096634161</v>
      </c>
      <c r="AR23" s="75">
        <f t="shared" si="9"/>
        <v>56841.8390510112</v>
      </c>
      <c r="AS23" s="10" t="s">
        <v>4</v>
      </c>
      <c r="AT23" s="335">
        <f>AT8*AE33</f>
        <v>608.5921911923609</v>
      </c>
      <c r="AU23" s="253"/>
      <c r="AV23" s="508">
        <f>AK23/V8</f>
        <v>1177759.5499896992</v>
      </c>
      <c r="AW23" s="500" t="s">
        <v>4</v>
      </c>
    </row>
    <row r="24" spans="1:49" ht="13.5" customHeight="1">
      <c r="A24" s="318"/>
      <c r="B24" s="318"/>
      <c r="C24" s="318"/>
      <c r="E24" s="481" t="s">
        <v>184</v>
      </c>
      <c r="F24" s="10" t="s">
        <v>6</v>
      </c>
      <c r="G24" s="279">
        <f>G34</f>
        <v>176943.31643269092</v>
      </c>
      <c r="H24" s="319"/>
      <c r="I24" s="279"/>
      <c r="J24" s="10" t="s">
        <v>6</v>
      </c>
      <c r="K24" s="284">
        <f t="shared" si="5"/>
        <v>-78556.99065694593</v>
      </c>
      <c r="L24" s="76">
        <f t="shared" si="5"/>
        <v>262.18483608451845</v>
      </c>
      <c r="M24" s="76">
        <f t="shared" si="5"/>
        <v>416.4702525718477</v>
      </c>
      <c r="N24" s="81">
        <f t="shared" si="5"/>
        <v>748.9921761703501</v>
      </c>
      <c r="O24" s="76">
        <f t="shared" si="5"/>
        <v>31.000525702359056</v>
      </c>
      <c r="P24" s="81">
        <f t="shared" si="5"/>
        <v>687.6584684146145</v>
      </c>
      <c r="Q24" s="10">
        <v>2</v>
      </c>
      <c r="R24" s="438" t="s">
        <v>191</v>
      </c>
      <c r="S24" s="317"/>
      <c r="T24" s="317"/>
      <c r="U24" s="385" t="s">
        <v>144</v>
      </c>
      <c r="V24" s="462">
        <f t="shared" si="6"/>
        <v>-18458.364383524095</v>
      </c>
      <c r="W24" s="10" t="s">
        <v>6</v>
      </c>
      <c r="X24" s="284">
        <f t="shared" si="7"/>
        <v>-78556.99065694593</v>
      </c>
      <c r="Y24" s="76">
        <f t="shared" si="8"/>
        <v>26.218483608451848</v>
      </c>
      <c r="Z24" s="76">
        <f t="shared" si="8"/>
        <v>138.82341752394922</v>
      </c>
      <c r="AA24" s="81">
        <f t="shared" si="8"/>
        <v>748.9921761703501</v>
      </c>
      <c r="AB24" s="76">
        <f t="shared" si="8"/>
        <v>31.000525702359056</v>
      </c>
      <c r="AC24" s="81">
        <f t="shared" si="8"/>
        <v>687.6584684146145</v>
      </c>
      <c r="AD24" s="10" t="s">
        <v>6</v>
      </c>
      <c r="AE24" s="324">
        <f>AT9-AT24</f>
        <v>843.1990324636381</v>
      </c>
      <c r="AF24" s="473" t="s">
        <v>178</v>
      </c>
      <c r="AG24" s="317"/>
      <c r="AH24" s="317"/>
      <c r="AI24" s="459" t="s">
        <v>163</v>
      </c>
      <c r="AJ24" s="458" t="s">
        <v>162</v>
      </c>
      <c r="AK24" s="279">
        <f>AK74+V24</f>
        <v>6036583.313017778</v>
      </c>
      <c r="AL24" s="10" t="s">
        <v>6</v>
      </c>
      <c r="AM24" s="284">
        <f>X74+X24</f>
        <v>-2365354.324572065</v>
      </c>
      <c r="AN24" s="76">
        <f t="shared" si="10"/>
        <v>519.868703777532</v>
      </c>
      <c r="AO24" s="76">
        <f t="shared" si="10"/>
        <v>4572.527764989561</v>
      </c>
      <c r="AP24" s="81">
        <f t="shared" si="10"/>
        <v>21176.110266635245</v>
      </c>
      <c r="AQ24" s="76">
        <f t="shared" si="9"/>
        <v>867.6052498991274</v>
      </c>
      <c r="AR24" s="81">
        <f t="shared" si="9"/>
        <v>48556.55717955293</v>
      </c>
      <c r="AS24" s="10" t="s">
        <v>6</v>
      </c>
      <c r="AT24" s="336">
        <f>AT9*AE34</f>
        <v>4572.597923688613</v>
      </c>
      <c r="AU24" s="253"/>
      <c r="AV24" s="508">
        <f>AK24/V9</f>
        <v>1006097.2188362963</v>
      </c>
      <c r="AW24" s="500" t="s">
        <v>6</v>
      </c>
    </row>
    <row r="25" spans="1:49" ht="13.5" customHeight="1">
      <c r="A25" s="318"/>
      <c r="B25" s="318"/>
      <c r="C25" s="318"/>
      <c r="E25" s="482" t="s">
        <v>185</v>
      </c>
      <c r="F25" s="10" t="s">
        <v>7</v>
      </c>
      <c r="G25" s="280">
        <f>G35</f>
        <v>134209.6027448529</v>
      </c>
      <c r="H25" s="319"/>
      <c r="I25" s="280"/>
      <c r="J25" s="10" t="s">
        <v>7</v>
      </c>
      <c r="K25" s="285">
        <f t="shared" si="5"/>
        <v>-65221.785151116885</v>
      </c>
      <c r="L25" s="86">
        <f t="shared" si="5"/>
        <v>196.57435280372556</v>
      </c>
      <c r="M25" s="86">
        <f t="shared" si="5"/>
        <v>517.2060775169025</v>
      </c>
      <c r="N25" s="87">
        <f t="shared" si="5"/>
        <v>485.43526109646666</v>
      </c>
      <c r="O25" s="76">
        <f t="shared" si="5"/>
        <v>24.487439636159152</v>
      </c>
      <c r="P25" s="81">
        <f t="shared" si="5"/>
        <v>544.0969429387914</v>
      </c>
      <c r="Q25" s="10">
        <v>3</v>
      </c>
      <c r="R25" s="437" t="s">
        <v>186</v>
      </c>
      <c r="S25" s="317"/>
      <c r="T25" s="317"/>
      <c r="U25" s="317"/>
      <c r="V25" s="463">
        <f t="shared" si="6"/>
        <v>-14000.470891902092</v>
      </c>
      <c r="W25" s="10" t="s">
        <v>7</v>
      </c>
      <c r="X25" s="285">
        <f t="shared" si="7"/>
        <v>-65221.785151116885</v>
      </c>
      <c r="Y25" s="86">
        <f t="shared" si="8"/>
        <v>19.657435280372557</v>
      </c>
      <c r="Z25" s="86">
        <f t="shared" si="8"/>
        <v>172.4020258389675</v>
      </c>
      <c r="AA25" s="87">
        <f t="shared" si="8"/>
        <v>485.43526109646666</v>
      </c>
      <c r="AB25" s="76">
        <f t="shared" si="8"/>
        <v>24.487439636159152</v>
      </c>
      <c r="AC25" s="81">
        <f t="shared" si="8"/>
        <v>544.0969429387914</v>
      </c>
      <c r="AD25" s="10" t="s">
        <v>7</v>
      </c>
      <c r="AE25" s="326">
        <f>AT10-AT25</f>
        <v>3214.281613592473</v>
      </c>
      <c r="AJ25" s="317"/>
      <c r="AK25" s="280">
        <f>AK75+V25</f>
        <v>5455871.909591768</v>
      </c>
      <c r="AL25" s="10" t="s">
        <v>7</v>
      </c>
      <c r="AM25" s="285">
        <f>X75+X25</f>
        <v>-2137811.116008546</v>
      </c>
      <c r="AN25" s="86">
        <f t="shared" si="10"/>
        <v>469.86099500825253</v>
      </c>
      <c r="AO25" s="86">
        <f t="shared" si="10"/>
        <v>4132.617041726051</v>
      </c>
      <c r="AP25" s="87">
        <f t="shared" si="10"/>
        <v>19139.087851255168</v>
      </c>
      <c r="AQ25" s="76">
        <f t="shared" si="9"/>
        <v>784.1433795130945</v>
      </c>
      <c r="AR25" s="81">
        <f t="shared" si="9"/>
        <v>43885.55849796842</v>
      </c>
      <c r="AS25" s="10" t="s">
        <v>7</v>
      </c>
      <c r="AT25" s="337">
        <f>AT10*AE35</f>
        <v>19139.370976566228</v>
      </c>
      <c r="AU25" s="253"/>
      <c r="AV25" s="508">
        <f>AK25/V10</f>
        <v>909311.9849319613</v>
      </c>
      <c r="AW25" s="500" t="s">
        <v>7</v>
      </c>
    </row>
    <row r="26" spans="1:49" ht="13.5" customHeight="1">
      <c r="A26" s="318"/>
      <c r="B26" s="318"/>
      <c r="C26" s="318"/>
      <c r="F26" s="10" t="s">
        <v>0</v>
      </c>
      <c r="G26" s="278"/>
      <c r="I26" s="278">
        <f>I36+I46+I56</f>
        <v>-323715.83502968785</v>
      </c>
      <c r="J26" s="10" t="s">
        <v>0</v>
      </c>
      <c r="K26" s="35">
        <f t="shared" si="5"/>
        <v>-61080.53033241206</v>
      </c>
      <c r="L26" s="76">
        <f t="shared" si="5"/>
        <v>199.8401619960142</v>
      </c>
      <c r="M26" s="76">
        <f t="shared" si="5"/>
        <v>605.711744594388</v>
      </c>
      <c r="N26" s="76">
        <f t="shared" si="5"/>
        <v>899.2295198622135</v>
      </c>
      <c r="O26" s="76">
        <f t="shared" si="5"/>
        <v>802.4714891856902</v>
      </c>
      <c r="P26" s="81">
        <f t="shared" si="5"/>
        <v>197.39067740218877</v>
      </c>
      <c r="Q26" s="10" t="s">
        <v>0</v>
      </c>
      <c r="S26" s="317"/>
      <c r="T26" s="317"/>
      <c r="U26" s="317"/>
      <c r="V26" s="365">
        <f t="shared" si="6"/>
        <v>44682.41536802594</v>
      </c>
      <c r="W26" s="10" t="s">
        <v>0</v>
      </c>
      <c r="X26" s="35">
        <f t="shared" si="7"/>
        <v>-61080.53033241206</v>
      </c>
      <c r="Y26" s="76">
        <f t="shared" si="8"/>
        <v>19.98401619960142</v>
      </c>
      <c r="Z26" s="76">
        <f t="shared" si="8"/>
        <v>201.903914864796</v>
      </c>
      <c r="AA26" s="76">
        <f t="shared" si="8"/>
        <v>899.2295198622135</v>
      </c>
      <c r="AB26" s="76">
        <f t="shared" si="8"/>
        <v>802.4714891856902</v>
      </c>
      <c r="AC26" s="81">
        <f t="shared" si="8"/>
        <v>197.39067740218877</v>
      </c>
      <c r="AD26" s="10" t="s">
        <v>0</v>
      </c>
      <c r="AE26" s="324">
        <f>AT11-AT26</f>
        <v>-802.4733418007158</v>
      </c>
      <c r="AF26" s="456" t="s">
        <v>179</v>
      </c>
      <c r="AG26" s="6" t="s">
        <v>180</v>
      </c>
      <c r="AH26" s="317"/>
      <c r="AK26" s="308">
        <f>AK76+V26</f>
        <v>219687.4467012104</v>
      </c>
      <c r="AL26" s="10" t="s">
        <v>0</v>
      </c>
      <c r="AM26" s="35">
        <f>X76+X26</f>
        <v>-137717.5423388817</v>
      </c>
      <c r="AN26" s="76">
        <f t="shared" si="10"/>
        <v>37.83524809161837</v>
      </c>
      <c r="AO26" s="76">
        <f t="shared" si="10"/>
        <v>332.7748716530193</v>
      </c>
      <c r="AP26" s="76">
        <f t="shared" si="10"/>
        <v>1541.0922530767382</v>
      </c>
      <c r="AQ26" s="253">
        <f>AT26</f>
        <v>-63.162098452749284</v>
      </c>
      <c r="AR26" s="81">
        <f>AR11+AC26</f>
        <v>3534.663878728306</v>
      </c>
      <c r="AS26" s="10" t="s">
        <v>0</v>
      </c>
      <c r="AT26" s="324">
        <f>AT11*AE36</f>
        <v>-63.162098452749284</v>
      </c>
      <c r="AU26" s="253"/>
      <c r="AV26" s="508">
        <f>AK26/V11</f>
        <v>73229.14890040347</v>
      </c>
      <c r="AW26" s="500" t="s">
        <v>0</v>
      </c>
    </row>
    <row r="27" spans="1:49" ht="13.5" customHeight="1" thickBot="1">
      <c r="A27" s="318"/>
      <c r="B27" s="318"/>
      <c r="C27" s="318"/>
      <c r="F27" s="10" t="s">
        <v>1</v>
      </c>
      <c r="G27" s="281"/>
      <c r="I27" s="281">
        <f>I37+I47+I57</f>
        <v>-40725.43944746041</v>
      </c>
      <c r="J27" s="10" t="s">
        <v>1</v>
      </c>
      <c r="K27" s="45">
        <f t="shared" si="5"/>
        <v>-21696.45440585425</v>
      </c>
      <c r="L27" s="93">
        <f t="shared" si="5"/>
        <v>49.98201634106954</v>
      </c>
      <c r="M27" s="94">
        <f t="shared" si="5"/>
        <v>303.2028310498106</v>
      </c>
      <c r="N27" s="94">
        <f t="shared" si="5"/>
        <v>299.74472401044454</v>
      </c>
      <c r="O27" s="94">
        <f t="shared" si="5"/>
        <v>0</v>
      </c>
      <c r="P27" s="95">
        <f t="shared" si="5"/>
        <v>6809.3488525800185</v>
      </c>
      <c r="Q27" s="10" t="s">
        <v>1</v>
      </c>
      <c r="S27" s="317"/>
      <c r="T27" s="317"/>
      <c r="U27" s="317"/>
      <c r="V27" s="367">
        <f t="shared" si="6"/>
        <v>5621.3221737204485</v>
      </c>
      <c r="W27" s="10" t="s">
        <v>1</v>
      </c>
      <c r="X27" s="45">
        <f t="shared" si="7"/>
        <v>-21696.45440585425</v>
      </c>
      <c r="Y27" s="93">
        <f t="shared" si="8"/>
        <v>4.998201634106954</v>
      </c>
      <c r="Z27" s="94">
        <f t="shared" si="8"/>
        <v>101.06761034993686</v>
      </c>
      <c r="AA27" s="94">
        <f t="shared" si="8"/>
        <v>299.74472401044454</v>
      </c>
      <c r="AB27" s="94">
        <f t="shared" si="8"/>
        <v>0</v>
      </c>
      <c r="AC27" s="95">
        <f t="shared" si="8"/>
        <v>6809.3488525800185</v>
      </c>
      <c r="AD27" s="10" t="s">
        <v>1</v>
      </c>
      <c r="AE27" s="338">
        <f>AT12-AT27</f>
        <v>-6809.402009178956</v>
      </c>
      <c r="AF27" s="456" t="s">
        <v>179</v>
      </c>
      <c r="AG27" s="6" t="s">
        <v>195</v>
      </c>
      <c r="AH27" s="317"/>
      <c r="AJ27" s="317"/>
      <c r="AK27" s="331">
        <f>AK77+V27</f>
        <v>81158.65297809798</v>
      </c>
      <c r="AL27" s="10" t="s">
        <v>1</v>
      </c>
      <c r="AM27" s="45">
        <f>X77+X27</f>
        <v>-57235.810152010876</v>
      </c>
      <c r="AN27" s="93">
        <f t="shared" si="10"/>
        <v>20.9708953126614</v>
      </c>
      <c r="AO27" s="94">
        <f t="shared" si="10"/>
        <v>184.39731659691273</v>
      </c>
      <c r="AP27" s="94">
        <f t="shared" si="10"/>
        <v>854.0634127743633</v>
      </c>
      <c r="AQ27" s="94">
        <f>AQ12+AB27</f>
        <v>0</v>
      </c>
      <c r="AR27" s="254">
        <f>AT27</f>
        <v>-1958.7785102439273</v>
      </c>
      <c r="AS27" s="10" t="s">
        <v>1</v>
      </c>
      <c r="AT27" s="339">
        <f>AT12*AE37</f>
        <v>-1958.7785102439273</v>
      </c>
      <c r="AU27" s="253"/>
      <c r="AV27" s="508">
        <f>AK27/V12</f>
        <v>40579.32648904899</v>
      </c>
      <c r="AW27" s="500" t="s">
        <v>1</v>
      </c>
    </row>
    <row r="28" spans="1:44" ht="13.5" customHeight="1">
      <c r="A28" s="318"/>
      <c r="B28" s="318"/>
      <c r="C28" s="318"/>
      <c r="G28" s="401" t="s">
        <v>123</v>
      </c>
      <c r="H28" s="317"/>
      <c r="I28" s="514" t="s">
        <v>124</v>
      </c>
      <c r="R28" s="317"/>
      <c r="S28" s="317"/>
      <c r="T28" s="317"/>
      <c r="U28" s="317"/>
      <c r="V28" s="317"/>
      <c r="W28" s="317"/>
      <c r="Y28" s="317"/>
      <c r="Z28" s="317"/>
      <c r="AA28" s="317"/>
      <c r="AB28" s="317"/>
      <c r="AC28" s="317"/>
      <c r="AD28" s="317"/>
      <c r="AH28" s="6"/>
      <c r="AJ28" s="317"/>
      <c r="AQ28" s="468" t="s">
        <v>19</v>
      </c>
      <c r="AR28" s="468"/>
    </row>
    <row r="29" spans="1:50" ht="13.5" customHeight="1">
      <c r="A29" s="318"/>
      <c r="B29" s="318"/>
      <c r="C29" s="318"/>
      <c r="AX29" s="317"/>
    </row>
    <row r="30" spans="1:26" ht="13.5" customHeight="1" thickBot="1">
      <c r="A30" s="318"/>
      <c r="B30" s="318"/>
      <c r="C30" s="318"/>
      <c r="G30"/>
      <c r="K30" s="55">
        <v>0</v>
      </c>
      <c r="L30" s="56">
        <v>0</v>
      </c>
      <c r="M30" s="57">
        <v>0</v>
      </c>
      <c r="N30" s="58">
        <v>0</v>
      </c>
      <c r="O30" s="57">
        <v>0</v>
      </c>
      <c r="P30" s="58">
        <v>0</v>
      </c>
      <c r="Q30" s="317"/>
      <c r="Z30" s="405" t="s">
        <v>91</v>
      </c>
    </row>
    <row r="31" spans="1:49" ht="13.5" customHeight="1">
      <c r="A31" s="340" t="s">
        <v>13</v>
      </c>
      <c r="B31" s="341">
        <v>30</v>
      </c>
      <c r="C31" s="318"/>
      <c r="H31" s="319"/>
      <c r="J31" s="132" t="s">
        <v>80</v>
      </c>
      <c r="K31" s="10">
        <v>0</v>
      </c>
      <c r="L31" s="10">
        <v>1</v>
      </c>
      <c r="M31" s="10">
        <v>2</v>
      </c>
      <c r="N31" s="10">
        <v>3</v>
      </c>
      <c r="O31" s="10" t="s">
        <v>0</v>
      </c>
      <c r="P31" s="10" t="s">
        <v>1</v>
      </c>
      <c r="Q31" s="317"/>
      <c r="V31" s="53" t="s">
        <v>17</v>
      </c>
      <c r="W31" s="132" t="s">
        <v>85</v>
      </c>
      <c r="X31" s="10" t="s">
        <v>3</v>
      </c>
      <c r="Y31" s="10" t="s">
        <v>4</v>
      </c>
      <c r="Z31" s="10">
        <v>2</v>
      </c>
      <c r="AA31" s="10">
        <v>3</v>
      </c>
      <c r="AB31" s="10" t="s">
        <v>0</v>
      </c>
      <c r="AC31" s="10" t="s">
        <v>1</v>
      </c>
      <c r="AD31" s="342"/>
      <c r="AE31" s="342" t="s">
        <v>77</v>
      </c>
      <c r="AK31" s="59" t="s">
        <v>128</v>
      </c>
      <c r="AL31" s="10"/>
      <c r="AM31" s="54" t="s">
        <v>158</v>
      </c>
      <c r="AS31" s="53"/>
      <c r="AT31" s="488" t="s">
        <v>193</v>
      </c>
      <c r="AV31" s="511" t="s">
        <v>199</v>
      </c>
      <c r="AW31" s="487"/>
    </row>
    <row r="32" spans="1:49" ht="13.5" customHeight="1">
      <c r="A32" s="340" t="s">
        <v>14</v>
      </c>
      <c r="B32" s="343">
        <v>0.01</v>
      </c>
      <c r="C32" s="318"/>
      <c r="F32" s="10" t="s">
        <v>3</v>
      </c>
      <c r="G32" s="244"/>
      <c r="H32" s="319"/>
      <c r="I32" s="244"/>
      <c r="J32" s="10" t="s">
        <v>3</v>
      </c>
      <c r="K32" s="60">
        <v>103184.15587689757</v>
      </c>
      <c r="L32" s="61">
        <v>-334.740289168508</v>
      </c>
      <c r="M32" s="62">
        <v>-843.1855365506201</v>
      </c>
      <c r="N32" s="63">
        <v>-1071.4221859686672</v>
      </c>
      <c r="O32" s="61">
        <v>-292</v>
      </c>
      <c r="P32" s="63">
        <v>-2922</v>
      </c>
      <c r="Q32" s="10">
        <v>0</v>
      </c>
      <c r="V32" s="14"/>
      <c r="W32" s="10" t="s">
        <v>3</v>
      </c>
      <c r="X32" s="275">
        <f>-AE22/AT22</f>
        <v>-0.22096230819175028</v>
      </c>
      <c r="Y32" s="97">
        <f>-AE23/AT23</f>
        <v>-0.16502008848459046</v>
      </c>
      <c r="Z32" s="98">
        <f>-AE24/AT24</f>
        <v>-0.18440261893471888</v>
      </c>
      <c r="AA32" s="99">
        <f>-AE25/AT25</f>
        <v>-0.16794081777964176</v>
      </c>
      <c r="AB32" s="251"/>
      <c r="AC32" s="252"/>
      <c r="AD32" s="10" t="s">
        <v>3</v>
      </c>
      <c r="AE32" s="275">
        <f>AT22/Z0</f>
        <v>0.8190261020268543</v>
      </c>
      <c r="AK32" s="321"/>
      <c r="AL32" s="10" t="s">
        <v>3</v>
      </c>
      <c r="AM32" s="321"/>
      <c r="AS32" s="10" t="s">
        <v>3</v>
      </c>
      <c r="AT32" s="321"/>
      <c r="AV32" s="464"/>
      <c r="AW32" s="500" t="s">
        <v>3</v>
      </c>
    </row>
    <row r="33" spans="1:49" ht="13.5" customHeight="1">
      <c r="A33" s="340" t="s">
        <v>15</v>
      </c>
      <c r="B33" s="344">
        <f>B31/30</f>
        <v>1</v>
      </c>
      <c r="C33" s="318"/>
      <c r="D33" s="319"/>
      <c r="F33" s="10" t="s">
        <v>4</v>
      </c>
      <c r="G33" s="243">
        <v>171062.62087004576</v>
      </c>
      <c r="H33" s="319"/>
      <c r="I33" s="243"/>
      <c r="J33" s="10" t="s">
        <v>4</v>
      </c>
      <c r="K33" s="60">
        <v>-27665.496970453583</v>
      </c>
      <c r="L33" s="69">
        <v>98.51110124896469</v>
      </c>
      <c r="M33" s="70">
        <v>228.9772097766361</v>
      </c>
      <c r="N33" s="71">
        <v>260.28358551596534</v>
      </c>
      <c r="O33" s="72">
        <v>6.013315860680705</v>
      </c>
      <c r="P33" s="71">
        <v>175.8302881906496</v>
      </c>
      <c r="Q33" s="10">
        <v>1</v>
      </c>
      <c r="V33" s="345">
        <f>Y32-X33</f>
        <v>-0.015151511861649869</v>
      </c>
      <c r="W33" s="10" t="s">
        <v>4</v>
      </c>
      <c r="X33" s="286">
        <f>-SUM(Y33:AC33)</f>
        <v>-0.1498685766229406</v>
      </c>
      <c r="Y33" s="101">
        <f aca="true" t="shared" si="11" ref="Y33:AC35">Y23/AN23</f>
        <v>0.04854887251423209</v>
      </c>
      <c r="Z33" s="101">
        <f t="shared" si="11"/>
        <v>0.04277735714244476</v>
      </c>
      <c r="AA33" s="102">
        <f t="shared" si="11"/>
        <v>0.03149949598594319</v>
      </c>
      <c r="AB33" s="103">
        <f t="shared" si="11"/>
        <v>0.01776262593005447</v>
      </c>
      <c r="AC33" s="102">
        <f t="shared" si="11"/>
        <v>0.009280225050266069</v>
      </c>
      <c r="AD33" s="10" t="s">
        <v>4</v>
      </c>
      <c r="AE33" s="346">
        <f>(1-Y33)*(1-Z33)*(1-AA33)*(1-AB33)*(1-AC33)</f>
        <v>0.8583542978222447</v>
      </c>
      <c r="AK33" s="278">
        <f>V23/V33</f>
        <v>1177763.8053062938</v>
      </c>
      <c r="AL33" s="10" t="s">
        <v>4</v>
      </c>
      <c r="AM33" s="515">
        <f>X23/X33</f>
        <v>553796.5926851886</v>
      </c>
      <c r="AS33" s="10" t="s">
        <v>4</v>
      </c>
      <c r="AT33" s="278">
        <f>AT56*AT23</f>
        <v>1177779.5802598512</v>
      </c>
      <c r="AV33" s="508">
        <f>P0*AM33</f>
        <v>1177774.2231638203</v>
      </c>
      <c r="AW33" s="500" t="s">
        <v>4</v>
      </c>
    </row>
    <row r="34" spans="1:49" ht="15" customHeight="1">
      <c r="A34" s="340" t="s">
        <v>16</v>
      </c>
      <c r="B34" s="341">
        <v>30.000591278076172</v>
      </c>
      <c r="C34" s="318"/>
      <c r="D34" s="319"/>
      <c r="F34" s="10" t="s">
        <v>6</v>
      </c>
      <c r="G34" s="243">
        <v>176943.31643269092</v>
      </c>
      <c r="H34" s="319"/>
      <c r="I34" s="243"/>
      <c r="J34" s="10" t="s">
        <v>6</v>
      </c>
      <c r="K34" s="77">
        <v>-26185.62050833417</v>
      </c>
      <c r="L34" s="78">
        <v>87.41382335992671</v>
      </c>
      <c r="M34" s="72">
        <v>138.8210989285341</v>
      </c>
      <c r="N34" s="79">
        <v>249.66492925271461</v>
      </c>
      <c r="O34" s="72">
        <v>10.33344831989414</v>
      </c>
      <c r="P34" s="79">
        <v>229.22143650496295</v>
      </c>
      <c r="Q34" s="10">
        <v>2</v>
      </c>
      <c r="T34" s="448" t="s">
        <v>160</v>
      </c>
      <c r="U34" s="458" t="s">
        <v>162</v>
      </c>
      <c r="V34" s="347">
        <f>Z32-X34</f>
        <v>-0.018346573288009566</v>
      </c>
      <c r="W34" s="10" t="s">
        <v>6</v>
      </c>
      <c r="X34" s="287">
        <f>-SUM(Y34:AC34)</f>
        <v>-0.1660560456467093</v>
      </c>
      <c r="Y34" s="103">
        <f t="shared" si="11"/>
        <v>0.05043289472503341</v>
      </c>
      <c r="Z34" s="103">
        <f t="shared" si="11"/>
        <v>0.030360322486585527</v>
      </c>
      <c r="AA34" s="105">
        <f t="shared" si="11"/>
        <v>0.03536967680747539</v>
      </c>
      <c r="AB34" s="103">
        <f t="shared" si="11"/>
        <v>0.03573114121423694</v>
      </c>
      <c r="AC34" s="105">
        <f t="shared" si="11"/>
        <v>0.014162010413378032</v>
      </c>
      <c r="AD34" s="10" t="s">
        <v>6</v>
      </c>
      <c r="AE34" s="348">
        <f>(1-Y34)*(1-Z34)*(1-AA34)*(1-AB34)*(1-AC34)</f>
        <v>0.8443074880224639</v>
      </c>
      <c r="AK34" s="279">
        <f>V24/V34</f>
        <v>1006093.2956666949</v>
      </c>
      <c r="AL34" s="10" t="s">
        <v>6</v>
      </c>
      <c r="AM34" s="516">
        <f>X24/X34</f>
        <v>473075.16176844883</v>
      </c>
      <c r="AS34" s="10" t="s">
        <v>6</v>
      </c>
      <c r="AT34" s="279">
        <f>AT57*AT24</f>
        <v>1006115.5381098648</v>
      </c>
      <c r="AV34" s="508">
        <f>P0*AM34</f>
        <v>1006101.768247364</v>
      </c>
      <c r="AW34" s="500" t="s">
        <v>6</v>
      </c>
    </row>
    <row r="35" spans="1:49" ht="13.5" customHeight="1">
      <c r="A35" s="318"/>
      <c r="B35" s="318"/>
      <c r="C35" s="318"/>
      <c r="D35" s="319"/>
      <c r="F35" s="10" t="s">
        <v>7</v>
      </c>
      <c r="G35" s="450">
        <v>134209.6027448529</v>
      </c>
      <c r="H35" s="319"/>
      <c r="I35" s="242"/>
      <c r="J35" s="10" t="s">
        <v>7</v>
      </c>
      <c r="K35" s="411">
        <v>-21740.570634727625</v>
      </c>
      <c r="L35" s="82">
        <v>65.53719649887852</v>
      </c>
      <c r="M35" s="83">
        <v>172.40598370082373</v>
      </c>
      <c r="N35" s="84">
        <v>161.81125685389793</v>
      </c>
      <c r="O35" s="72">
        <v>8.162421215059</v>
      </c>
      <c r="P35" s="79">
        <v>181.36649844580305</v>
      </c>
      <c r="Q35" s="10">
        <v>3</v>
      </c>
      <c r="T35" s="449" t="s">
        <v>161</v>
      </c>
      <c r="U35" s="317"/>
      <c r="V35" s="349">
        <f>AA32-X35</f>
        <v>-0.015396810002251737</v>
      </c>
      <c r="W35" s="10" t="s">
        <v>7</v>
      </c>
      <c r="X35" s="288">
        <f>-SUM(Y35:AC35)</f>
        <v>-0.15254400777739002</v>
      </c>
      <c r="Y35" s="106">
        <f t="shared" si="11"/>
        <v>0.04183670381072448</v>
      </c>
      <c r="Z35" s="106">
        <f t="shared" si="11"/>
        <v>0.04171739701459517</v>
      </c>
      <c r="AA35" s="107">
        <f t="shared" si="11"/>
        <v>0.02536355258250362</v>
      </c>
      <c r="AB35" s="103">
        <f t="shared" si="11"/>
        <v>0.031228268038639016</v>
      </c>
      <c r="AC35" s="105">
        <f t="shared" si="11"/>
        <v>0.012398086330927725</v>
      </c>
      <c r="AD35" s="10" t="s">
        <v>7</v>
      </c>
      <c r="AE35" s="350">
        <f>(1-Y35)*(1-Z35)*(1-AA35)*(1-AB35)*(1-AC35)</f>
        <v>0.8562077673602401</v>
      </c>
      <c r="AK35" s="280">
        <f>V25/V35</f>
        <v>909309.8433931811</v>
      </c>
      <c r="AL35" s="10" t="s">
        <v>7</v>
      </c>
      <c r="AM35" s="517">
        <f>X25/X35</f>
        <v>427560.45354659954</v>
      </c>
      <c r="AS35" s="10" t="s">
        <v>7</v>
      </c>
      <c r="AT35" s="280">
        <f>AT58*AT25</f>
        <v>909327.2143419805</v>
      </c>
      <c r="AV35" s="508">
        <f>P0*AM35</f>
        <v>909304.4046908326</v>
      </c>
      <c r="AW35" s="500" t="s">
        <v>7</v>
      </c>
    </row>
    <row r="36" spans="1:49" ht="13.5" customHeight="1">
      <c r="A36" s="318"/>
      <c r="B36" s="318"/>
      <c r="C36" s="318"/>
      <c r="D36" s="319"/>
      <c r="F36" s="10" t="s">
        <v>0</v>
      </c>
      <c r="G36" s="247"/>
      <c r="H36" s="319"/>
      <c r="I36" s="247">
        <v>-107924.75837956507</v>
      </c>
      <c r="J36" s="10" t="s">
        <v>0</v>
      </c>
      <c r="K36" s="77">
        <v>-20360.243287337184</v>
      </c>
      <c r="L36" s="72">
        <v>66.62069287763799</v>
      </c>
      <c r="M36" s="72">
        <v>201.9089202046847</v>
      </c>
      <c r="N36" s="72">
        <v>299.74647292069835</v>
      </c>
      <c r="O36" s="72">
        <v>267.49081460436616</v>
      </c>
      <c r="P36" s="79">
        <v>65.78968328634916</v>
      </c>
      <c r="Q36" s="10" t="s">
        <v>0</v>
      </c>
      <c r="V36" s="351">
        <f>AB36-X36</f>
        <v>0.6101644689533405</v>
      </c>
      <c r="W36" s="10" t="s">
        <v>0</v>
      </c>
      <c r="X36" s="267">
        <f>-SUM(Y36:AA36)-AC36</f>
        <v>-1.774259076327547</v>
      </c>
      <c r="Y36" s="103">
        <f aca="true" t="shared" si="12" ref="Y36:AA37">Y26/AN26</f>
        <v>0.5281851502918643</v>
      </c>
      <c r="Z36" s="103">
        <f t="shared" si="12"/>
        <v>0.6067282480250462</v>
      </c>
      <c r="AA36" s="103">
        <f t="shared" si="12"/>
        <v>0.5835014211945666</v>
      </c>
      <c r="AB36" s="269">
        <f>(AQ7+AE26)/AT26</f>
        <v>-1.1640946073742064</v>
      </c>
      <c r="AC36" s="105">
        <f>AC26/AR26</f>
        <v>0.05584425681606976</v>
      </c>
      <c r="AD36" s="10" t="s">
        <v>0</v>
      </c>
      <c r="AE36" s="351">
        <f>(1-Y36)*(1-Z36)*(1-AA36)*(1-AC36)</f>
        <v>0.07296616510323896</v>
      </c>
      <c r="AK36" s="308">
        <f>V26/V36</f>
        <v>73230.11686451185</v>
      </c>
      <c r="AL36" s="10" t="s">
        <v>0</v>
      </c>
      <c r="AM36" s="518">
        <f>X26/X36</f>
        <v>34425.93652040924</v>
      </c>
      <c r="AS36" s="10" t="s">
        <v>0</v>
      </c>
      <c r="AT36" s="308">
        <f>AT59*AT26</f>
        <v>73244.48103801117</v>
      </c>
      <c r="AV36" s="508">
        <f>P0*AM36</f>
        <v>73214.57224107691</v>
      </c>
      <c r="AW36" s="500" t="s">
        <v>0</v>
      </c>
    </row>
    <row r="37" spans="1:49" ht="13.5" customHeight="1" thickBot="1">
      <c r="A37" s="318"/>
      <c r="B37" s="318"/>
      <c r="C37" s="318"/>
      <c r="D37" s="319"/>
      <c r="F37" s="10" t="s">
        <v>1</v>
      </c>
      <c r="G37" s="248"/>
      <c r="H37" s="319"/>
      <c r="I37" s="248">
        <v>-13583.052730636995</v>
      </c>
      <c r="J37" s="10" t="s">
        <v>1</v>
      </c>
      <c r="K37" s="89">
        <v>-7232.2244760450185</v>
      </c>
      <c r="L37" s="90">
        <v>16.657475183100086</v>
      </c>
      <c r="M37" s="91">
        <v>101.07232393994147</v>
      </c>
      <c r="N37" s="91">
        <v>99.91594142539066</v>
      </c>
      <c r="O37" s="91">
        <v>0</v>
      </c>
      <c r="P37" s="92">
        <v>2269.792093572236</v>
      </c>
      <c r="Q37" s="10" t="s">
        <v>1</v>
      </c>
      <c r="V37" s="352">
        <f>AC37-X37</f>
        <v>0.13851317653339124</v>
      </c>
      <c r="W37" s="10" t="s">
        <v>1</v>
      </c>
      <c r="X37" s="268">
        <f>-SUM(Y37:AA37)</f>
        <v>-1.137399972865146</v>
      </c>
      <c r="Y37" s="110">
        <f t="shared" si="12"/>
        <v>0.23833992586331004</v>
      </c>
      <c r="Z37" s="111">
        <f t="shared" si="12"/>
        <v>0.5480969691704775</v>
      </c>
      <c r="AA37" s="111">
        <f t="shared" si="12"/>
        <v>0.3509630778313585</v>
      </c>
      <c r="AB37" s="353"/>
      <c r="AC37" s="354">
        <f>(AR7+AE27)/AT27</f>
        <v>-0.9988867963317548</v>
      </c>
      <c r="AD37" s="10" t="s">
        <v>1</v>
      </c>
      <c r="AE37" s="352">
        <f>(1-Y37)*(1-Z37)*(1-AA37)*(1-AB37)</f>
        <v>0.22339623436184144</v>
      </c>
      <c r="AK37" s="331">
        <f>V27/V37</f>
        <v>40583.30271824588</v>
      </c>
      <c r="AL37" s="10" t="s">
        <v>1</v>
      </c>
      <c r="AM37" s="519">
        <f>X27/X37</f>
        <v>19075.48349170451</v>
      </c>
      <c r="AS37" s="10" t="s">
        <v>1</v>
      </c>
      <c r="AT37" s="331">
        <f>AT60*AT27</f>
        <v>40585.87739897278</v>
      </c>
      <c r="AV37" s="508">
        <f>P0*AM37</f>
        <v>40568.34774295539</v>
      </c>
      <c r="AW37" s="500" t="s">
        <v>1</v>
      </c>
    </row>
    <row r="38" spans="1:36" ht="13.5" customHeight="1">
      <c r="A38" s="318"/>
      <c r="B38" s="318"/>
      <c r="C38" s="318"/>
      <c r="D38" s="319"/>
      <c r="J38" s="380"/>
      <c r="Q38" s="317"/>
      <c r="S38" s="317"/>
      <c r="T38" s="317"/>
      <c r="U38" s="317"/>
      <c r="V38" s="317"/>
      <c r="W38" s="317"/>
      <c r="X38" s="317"/>
      <c r="Y38" s="317"/>
      <c r="Z38" s="317"/>
      <c r="AA38" s="317"/>
      <c r="AB38" s="469" t="s">
        <v>171</v>
      </c>
      <c r="AC38" s="469"/>
      <c r="AJ38" s="317"/>
    </row>
    <row r="39" spans="1:34" ht="13.5" customHeight="1">
      <c r="A39" s="318"/>
      <c r="B39" s="318"/>
      <c r="C39" s="318"/>
      <c r="D39" s="319"/>
      <c r="J39" s="380"/>
      <c r="Q39" s="317"/>
      <c r="S39" s="317"/>
      <c r="U39" s="317"/>
      <c r="AF39" s="317"/>
      <c r="AG39" s="317"/>
      <c r="AH39" s="317"/>
    </row>
    <row r="40" spans="1:49" ht="13.5" customHeight="1" thickBot="1">
      <c r="A40" s="318"/>
      <c r="B40" s="318"/>
      <c r="C40" s="318"/>
      <c r="D40" s="319"/>
      <c r="J40" s="380"/>
      <c r="K40" s="55">
        <v>0</v>
      </c>
      <c r="L40" s="56">
        <v>0</v>
      </c>
      <c r="M40" s="57">
        <v>0</v>
      </c>
      <c r="N40" s="58">
        <v>0</v>
      </c>
      <c r="O40" s="57">
        <v>0</v>
      </c>
      <c r="P40" s="58">
        <v>0</v>
      </c>
      <c r="Q40" s="317"/>
      <c r="T40" s="317"/>
      <c r="U40" s="317"/>
      <c r="V40" s="317"/>
      <c r="W40" s="317"/>
      <c r="X40" s="2">
        <f>-SUM(Y40:AC40)</f>
        <v>8868022.024546059</v>
      </c>
      <c r="Y40" s="7">
        <f>-SUM(Y42:Y47)</f>
        <v>-2061730.2206975394</v>
      </c>
      <c r="Z40" s="8">
        <f>-SUM(Z42:Z47)</f>
        <v>-1981008.7897807995</v>
      </c>
      <c r="AA40" s="9">
        <f>-SUM(AA42:AA47)</f>
        <v>-1935494.0815589502</v>
      </c>
      <c r="AB40" s="8">
        <f>-SUM(AB42:AB47)</f>
        <v>-1420006.2714798276</v>
      </c>
      <c r="AC40" s="9">
        <f>-SUM(AC42:AC47)</f>
        <v>-1469782.6610289416</v>
      </c>
      <c r="AF40" s="317"/>
      <c r="AG40" s="317"/>
      <c r="AH40" s="317"/>
      <c r="AJ40" s="317"/>
      <c r="AL40" s="317"/>
      <c r="AM40" s="112">
        <f>-SUM(AN40:AR40)</f>
        <v>18859858.622227047</v>
      </c>
      <c r="AN40" s="113">
        <f>-SUM(AN42:AN47)</f>
        <v>-4384744.169255221</v>
      </c>
      <c r="AO40" s="114">
        <f>-SUM(AO42:AO47)</f>
        <v>-4213073.659615622</v>
      </c>
      <c r="AP40" s="115">
        <f>-SUM(AP42:AP47)</f>
        <v>-4116290.2073421087</v>
      </c>
      <c r="AQ40" s="114">
        <f>-SUM(AQ42:AQ47)</f>
        <v>-3019936.827501658</v>
      </c>
      <c r="AR40" s="115">
        <f>-SUM(AR42:AR47)</f>
        <v>-3125813.7585124355</v>
      </c>
      <c r="AS40" s="317"/>
      <c r="AU40" s="317"/>
      <c r="AV40" s="509" t="s">
        <v>172</v>
      </c>
      <c r="AW40" s="487"/>
    </row>
    <row r="41" spans="1:49" ht="13.5" customHeight="1">
      <c r="A41" s="318"/>
      <c r="B41" s="318"/>
      <c r="C41" s="318"/>
      <c r="D41" s="319"/>
      <c r="H41" s="319"/>
      <c r="J41" s="132" t="s">
        <v>81</v>
      </c>
      <c r="K41" s="10">
        <v>0</v>
      </c>
      <c r="L41" s="10">
        <v>1</v>
      </c>
      <c r="M41" s="10">
        <v>2</v>
      </c>
      <c r="N41" s="10">
        <v>3</v>
      </c>
      <c r="O41" s="10" t="s">
        <v>0</v>
      </c>
      <c r="P41" s="10" t="s">
        <v>1</v>
      </c>
      <c r="Q41" s="317"/>
      <c r="S41" s="317"/>
      <c r="T41" s="317"/>
      <c r="U41" s="317"/>
      <c r="V41" s="54" t="s">
        <v>12</v>
      </c>
      <c r="W41" s="360" t="s">
        <v>92</v>
      </c>
      <c r="X41" s="10" t="s">
        <v>3</v>
      </c>
      <c r="Y41" s="10" t="s">
        <v>4</v>
      </c>
      <c r="Z41" s="10">
        <v>2</v>
      </c>
      <c r="AA41" s="10">
        <v>3</v>
      </c>
      <c r="AB41" s="10" t="s">
        <v>0</v>
      </c>
      <c r="AC41" s="10" t="s">
        <v>1</v>
      </c>
      <c r="AD41" s="317"/>
      <c r="AE41" s="317"/>
      <c r="AJ41" s="317"/>
      <c r="AK41" s="59" t="s">
        <v>22</v>
      </c>
      <c r="AL41" s="116" t="s">
        <v>94</v>
      </c>
      <c r="AM41" s="10" t="s">
        <v>3</v>
      </c>
      <c r="AN41" s="10" t="s">
        <v>4</v>
      </c>
      <c r="AO41" s="10">
        <v>2</v>
      </c>
      <c r="AP41" s="10">
        <v>3</v>
      </c>
      <c r="AQ41" s="10" t="s">
        <v>0</v>
      </c>
      <c r="AR41" s="10" t="s">
        <v>1</v>
      </c>
      <c r="AS41" s="317"/>
      <c r="AU41" s="317"/>
      <c r="AV41" s="510" t="s">
        <v>198</v>
      </c>
      <c r="AW41" s="487"/>
    </row>
    <row r="42" spans="1:49" ht="13.5" customHeight="1">
      <c r="A42" s="318"/>
      <c r="B42" s="318"/>
      <c r="C42" s="318"/>
      <c r="D42" s="319"/>
      <c r="G42" s="319"/>
      <c r="H42" s="319"/>
      <c r="I42" s="244"/>
      <c r="J42" s="10" t="s">
        <v>3</v>
      </c>
      <c r="K42" s="60">
        <v>103184.15587689757</v>
      </c>
      <c r="L42" s="61">
        <v>-334.6914092902691</v>
      </c>
      <c r="M42" s="62">
        <v>-843.1699525827285</v>
      </c>
      <c r="N42" s="63">
        <v>-1071.416930738947</v>
      </c>
      <c r="O42" s="61">
        <v>-292</v>
      </c>
      <c r="P42" s="63">
        <v>-2922</v>
      </c>
      <c r="Q42" s="10">
        <v>0</v>
      </c>
      <c r="R42" s="317"/>
      <c r="S42" s="317"/>
      <c r="T42" s="317"/>
      <c r="U42" s="317"/>
      <c r="V42" s="14">
        <f>-SUM(V43:V47)</f>
        <v>-8868022.02454606</v>
      </c>
      <c r="W42" s="10" t="s">
        <v>3</v>
      </c>
      <c r="X42" s="272">
        <f>-X40-SUM(X43:X47)</f>
        <v>-1400930.7879881226</v>
      </c>
      <c r="Y42" s="23">
        <f>Y7*AM33</f>
        <v>553796.5926851886</v>
      </c>
      <c r="Z42" s="24">
        <f>Z7*AM34</f>
        <v>473075.16176844883</v>
      </c>
      <c r="AA42" s="25">
        <f>AA7*AM35</f>
        <v>427560.45354659954</v>
      </c>
      <c r="AB42" s="23">
        <f>AB7*AM36</f>
        <v>0</v>
      </c>
      <c r="AC42" s="25">
        <f>AC7*AM37</f>
        <v>0</v>
      </c>
      <c r="AD42" s="10" t="s">
        <v>3</v>
      </c>
      <c r="AJ42" s="317"/>
      <c r="AK42" s="119">
        <f>-SUM(AK43:AK47)</f>
        <v>-18859858.622227047</v>
      </c>
      <c r="AL42" s="10" t="s">
        <v>3</v>
      </c>
      <c r="AM42" s="119">
        <f>-AM40-SUM(AM43:AM47)</f>
        <v>-2979353.524783414</v>
      </c>
      <c r="AN42" s="120">
        <f>Y7*AK33</f>
        <v>1177763.8053062938</v>
      </c>
      <c r="AO42" s="121">
        <f>Z7*AK34</f>
        <v>1006093.2956666949</v>
      </c>
      <c r="AP42" s="122">
        <f>AA7*AK35</f>
        <v>909309.8433931811</v>
      </c>
      <c r="AQ42" s="120">
        <f>AB7*AK36</f>
        <v>0</v>
      </c>
      <c r="AR42" s="122">
        <f>AC7*AK37</f>
        <v>0</v>
      </c>
      <c r="AS42" s="10" t="s">
        <v>3</v>
      </c>
      <c r="AU42" s="424"/>
      <c r="AV42" s="464"/>
      <c r="AW42" s="500" t="s">
        <v>3</v>
      </c>
    </row>
    <row r="43" spans="1:49" ht="13.5" customHeight="1">
      <c r="A43" s="318"/>
      <c r="B43" s="318"/>
      <c r="C43" s="318"/>
      <c r="D43" s="319"/>
      <c r="G43" s="319"/>
      <c r="H43" s="319"/>
      <c r="I43" s="243"/>
      <c r="J43" s="10" t="s">
        <v>4</v>
      </c>
      <c r="K43" s="60">
        <v>-27665.567955074028</v>
      </c>
      <c r="L43" s="69">
        <v>98.48947305098896</v>
      </c>
      <c r="M43" s="70">
        <v>228.97244067183757</v>
      </c>
      <c r="N43" s="71">
        <v>260.28296440243463</v>
      </c>
      <c r="O43" s="72">
        <v>6.013512114689842</v>
      </c>
      <c r="P43" s="71">
        <v>175.834946299761</v>
      </c>
      <c r="Q43" s="10">
        <v>1</v>
      </c>
      <c r="R43" s="317"/>
      <c r="S43" s="317"/>
      <c r="T43" s="317"/>
      <c r="U43" s="317"/>
      <c r="V43" s="355">
        <f>V8*$AM33</f>
        <v>3322779.556111132</v>
      </c>
      <c r="W43" s="10" t="s">
        <v>4</v>
      </c>
      <c r="X43" s="283">
        <f aca="true" t="shared" si="13" ref="X43:AC47">X8*$AM33</f>
        <v>-2768982.963425943</v>
      </c>
      <c r="Y43" s="32">
        <f t="shared" si="13"/>
        <v>553796.5926851886</v>
      </c>
      <c r="Z43" s="32">
        <f t="shared" si="13"/>
        <v>553796.5926851886</v>
      </c>
      <c r="AA43" s="33">
        <f t="shared" si="13"/>
        <v>553796.5926851886</v>
      </c>
      <c r="AB43" s="34">
        <f t="shared" si="13"/>
        <v>553796.5926851886</v>
      </c>
      <c r="AC43" s="33">
        <f t="shared" si="13"/>
        <v>553796.5926851886</v>
      </c>
      <c r="AD43" s="10" t="s">
        <v>4</v>
      </c>
      <c r="AF43" s="317"/>
      <c r="AG43" s="317"/>
      <c r="AH43" s="317"/>
      <c r="AJ43" s="317"/>
      <c r="AK43" s="278">
        <f>V8*$AK33</f>
        <v>7066582.831837762</v>
      </c>
      <c r="AL43" s="10" t="s">
        <v>4</v>
      </c>
      <c r="AM43" s="292">
        <f aca="true" t="shared" si="14" ref="AM43:AR47">X8*$AK33</f>
        <v>-5888819.026531469</v>
      </c>
      <c r="AN43" s="123">
        <f t="shared" si="14"/>
        <v>1177763.8053062938</v>
      </c>
      <c r="AO43" s="123">
        <f t="shared" si="14"/>
        <v>1177763.8053062938</v>
      </c>
      <c r="AP43" s="124">
        <f t="shared" si="14"/>
        <v>1177763.8053062938</v>
      </c>
      <c r="AQ43" s="125">
        <f t="shared" si="14"/>
        <v>1177763.8053062938</v>
      </c>
      <c r="AR43" s="124">
        <f t="shared" si="14"/>
        <v>1177763.8053062938</v>
      </c>
      <c r="AS43" s="10" t="s">
        <v>4</v>
      </c>
      <c r="AU43" s="424"/>
      <c r="AV43" s="508">
        <f>(AM73+AM105)/X8</f>
        <v>1177759.1914759837</v>
      </c>
      <c r="AW43" s="500" t="s">
        <v>4</v>
      </c>
    </row>
    <row r="44" spans="1:49" ht="13.5" customHeight="1">
      <c r="A44" s="318"/>
      <c r="B44" s="318"/>
      <c r="C44" s="318"/>
      <c r="G44" s="319"/>
      <c r="H44" s="319"/>
      <c r="I44" s="243"/>
      <c r="J44" s="10" t="s">
        <v>6</v>
      </c>
      <c r="K44" s="77">
        <v>-26185.662671253456</v>
      </c>
      <c r="L44" s="78">
        <v>87.40032612873733</v>
      </c>
      <c r="M44" s="72">
        <v>138.82326314338107</v>
      </c>
      <c r="N44" s="79">
        <v>249.6640700680388</v>
      </c>
      <c r="O44" s="72">
        <v>10.333507576005923</v>
      </c>
      <c r="P44" s="79">
        <v>229.21951391778077</v>
      </c>
      <c r="Q44" s="10">
        <v>2</v>
      </c>
      <c r="R44" s="317"/>
      <c r="S44" s="317"/>
      <c r="T44" s="317"/>
      <c r="U44" s="317"/>
      <c r="V44" s="356">
        <f>V9*$AM34</f>
        <v>2838450.970610693</v>
      </c>
      <c r="W44" s="10" t="s">
        <v>6</v>
      </c>
      <c r="X44" s="284">
        <f t="shared" si="13"/>
        <v>-2365375.808842244</v>
      </c>
      <c r="Y44" s="34">
        <f t="shared" si="13"/>
        <v>473075.16176844883</v>
      </c>
      <c r="Z44" s="34">
        <f t="shared" si="13"/>
        <v>473075.16176844883</v>
      </c>
      <c r="AA44" s="38">
        <f t="shared" si="13"/>
        <v>473075.16176844883</v>
      </c>
      <c r="AB44" s="34">
        <f t="shared" si="13"/>
        <v>473075.16176844883</v>
      </c>
      <c r="AC44" s="38">
        <f t="shared" si="13"/>
        <v>473075.16176844883</v>
      </c>
      <c r="AD44" s="10" t="s">
        <v>6</v>
      </c>
      <c r="AF44" s="317"/>
      <c r="AG44" s="317"/>
      <c r="AH44" s="317"/>
      <c r="AI44" s="389"/>
      <c r="AJ44" s="317"/>
      <c r="AK44" s="279">
        <f>V9*$AK34</f>
        <v>6036559.77400017</v>
      </c>
      <c r="AL44" s="10" t="s">
        <v>6</v>
      </c>
      <c r="AM44" s="293">
        <f t="shared" si="14"/>
        <v>-5030466.478333474</v>
      </c>
      <c r="AN44" s="125">
        <f t="shared" si="14"/>
        <v>1006093.2956666949</v>
      </c>
      <c r="AO44" s="125">
        <f t="shared" si="14"/>
        <v>1006093.2956666949</v>
      </c>
      <c r="AP44" s="130">
        <f t="shared" si="14"/>
        <v>1006093.2956666949</v>
      </c>
      <c r="AQ44" s="125">
        <f t="shared" si="14"/>
        <v>1006093.2956666949</v>
      </c>
      <c r="AR44" s="130">
        <f t="shared" si="14"/>
        <v>1006093.2956666949</v>
      </c>
      <c r="AS44" s="10" t="s">
        <v>6</v>
      </c>
      <c r="AU44" s="424"/>
      <c r="AV44" s="508">
        <f>(AM74+AM106)/X9</f>
        <v>1006095.1756668711</v>
      </c>
      <c r="AW44" s="500" t="s">
        <v>6</v>
      </c>
    </row>
    <row r="45" spans="1:49" ht="13.5" customHeight="1">
      <c r="A45" s="318"/>
      <c r="B45" s="318"/>
      <c r="C45" s="318"/>
      <c r="G45" s="319"/>
      <c r="H45" s="319"/>
      <c r="I45" s="242"/>
      <c r="J45" s="10" t="s">
        <v>7</v>
      </c>
      <c r="K45" s="411">
        <v>-21740.594809100763</v>
      </c>
      <c r="L45" s="82">
        <v>65.52675716119094</v>
      </c>
      <c r="M45" s="83">
        <v>172.40223564596855</v>
      </c>
      <c r="N45" s="84">
        <v>161.8117469136326</v>
      </c>
      <c r="O45" s="72">
        <v>8.162479040263886</v>
      </c>
      <c r="P45" s="79">
        <v>181.36566262470183</v>
      </c>
      <c r="Q45" s="10">
        <v>3</v>
      </c>
      <c r="R45" s="317"/>
      <c r="S45" s="317"/>
      <c r="T45" s="317"/>
      <c r="U45" s="317"/>
      <c r="V45" s="357">
        <f>V10*$AM35</f>
        <v>2565362.7212795974</v>
      </c>
      <c r="W45" s="10" t="s">
        <v>7</v>
      </c>
      <c r="X45" s="285">
        <f t="shared" si="13"/>
        <v>-2137802.267732998</v>
      </c>
      <c r="Y45" s="43">
        <f t="shared" si="13"/>
        <v>427560.45354659954</v>
      </c>
      <c r="Z45" s="43">
        <f t="shared" si="13"/>
        <v>427560.45354659954</v>
      </c>
      <c r="AA45" s="44">
        <f t="shared" si="13"/>
        <v>427560.45354659954</v>
      </c>
      <c r="AB45" s="34">
        <f t="shared" si="13"/>
        <v>427560.45354659954</v>
      </c>
      <c r="AC45" s="38">
        <f t="shared" si="13"/>
        <v>427560.45354659954</v>
      </c>
      <c r="AD45" s="10" t="s">
        <v>7</v>
      </c>
      <c r="AI45" s="389"/>
      <c r="AJ45" s="317"/>
      <c r="AK45" s="280">
        <f>V10*$AK35</f>
        <v>5455859.060359087</v>
      </c>
      <c r="AL45" s="10" t="s">
        <v>7</v>
      </c>
      <c r="AM45" s="294">
        <f t="shared" si="14"/>
        <v>-4546549.216965905</v>
      </c>
      <c r="AN45" s="133">
        <f t="shared" si="14"/>
        <v>909309.8433931811</v>
      </c>
      <c r="AO45" s="133">
        <f t="shared" si="14"/>
        <v>909309.8433931811</v>
      </c>
      <c r="AP45" s="134">
        <f t="shared" si="14"/>
        <v>909309.8433931811</v>
      </c>
      <c r="AQ45" s="125">
        <f t="shared" si="14"/>
        <v>909309.8433931811</v>
      </c>
      <c r="AR45" s="130">
        <f t="shared" si="14"/>
        <v>909309.8433931811</v>
      </c>
      <c r="AS45" s="10" t="s">
        <v>7</v>
      </c>
      <c r="AU45" s="269"/>
      <c r="AV45" s="508">
        <f>(AM75+AM107)/X10</f>
        <v>909310.5710763624</v>
      </c>
      <c r="AW45" s="500" t="s">
        <v>7</v>
      </c>
    </row>
    <row r="46" spans="1:49" ht="13.5" customHeight="1">
      <c r="A46" s="318"/>
      <c r="B46" s="318"/>
      <c r="C46" s="318"/>
      <c r="F46" s="430" t="s">
        <v>140</v>
      </c>
      <c r="H46" s="319"/>
      <c r="I46" s="247">
        <v>-107907.57423477688</v>
      </c>
      <c r="J46" s="10" t="s">
        <v>0</v>
      </c>
      <c r="K46" s="77">
        <v>-20360.177776903423</v>
      </c>
      <c r="L46" s="72">
        <v>66.6151188531733</v>
      </c>
      <c r="M46" s="72">
        <v>201.90415692545847</v>
      </c>
      <c r="N46" s="72">
        <v>299.7432243317052</v>
      </c>
      <c r="O46" s="72">
        <v>267.4905012690403</v>
      </c>
      <c r="P46" s="79">
        <v>65.79677930985157</v>
      </c>
      <c r="Q46" s="10" t="s">
        <v>0</v>
      </c>
      <c r="R46" s="317"/>
      <c r="S46" s="317"/>
      <c r="T46" s="317"/>
      <c r="U46" s="317"/>
      <c r="V46" s="307">
        <f>V11*$AM36</f>
        <v>103277.80956122771</v>
      </c>
      <c r="W46" s="10" t="s">
        <v>0</v>
      </c>
      <c r="X46" s="35">
        <f t="shared" si="13"/>
        <v>-137703.74608163696</v>
      </c>
      <c r="Y46" s="34">
        <f t="shared" si="13"/>
        <v>34425.93652040924</v>
      </c>
      <c r="Z46" s="34">
        <f t="shared" si="13"/>
        <v>34425.93652040924</v>
      </c>
      <c r="AA46" s="34">
        <f t="shared" si="13"/>
        <v>34425.93652040924</v>
      </c>
      <c r="AB46" s="34">
        <f t="shared" si="13"/>
        <v>-34425.93652040924</v>
      </c>
      <c r="AC46" s="38">
        <f t="shared" si="13"/>
        <v>34425.93652040924</v>
      </c>
      <c r="AD46" s="10" t="s">
        <v>0</v>
      </c>
      <c r="AI46" s="317"/>
      <c r="AJ46" s="317"/>
      <c r="AK46" s="308">
        <f>V11*$AK36</f>
        <v>219690.35059353552</v>
      </c>
      <c r="AL46" s="10" t="s">
        <v>0</v>
      </c>
      <c r="AM46" s="129">
        <f t="shared" si="14"/>
        <v>-292920.4674580474</v>
      </c>
      <c r="AN46" s="125">
        <f t="shared" si="14"/>
        <v>73230.11686451185</v>
      </c>
      <c r="AO46" s="125">
        <f t="shared" si="14"/>
        <v>73230.11686451185</v>
      </c>
      <c r="AP46" s="125">
        <f t="shared" si="14"/>
        <v>73230.11686451185</v>
      </c>
      <c r="AQ46" s="125">
        <f t="shared" si="14"/>
        <v>-73230.11686451185</v>
      </c>
      <c r="AR46" s="130">
        <f t="shared" si="14"/>
        <v>73230.11686451185</v>
      </c>
      <c r="AS46" s="10" t="s">
        <v>0</v>
      </c>
      <c r="AU46" s="269"/>
      <c r="AV46" s="508">
        <f>(AM76+AM108)/X11</f>
        <v>73226.6211524286</v>
      </c>
      <c r="AW46" s="500" t="s">
        <v>0</v>
      </c>
    </row>
    <row r="47" spans="1:49" ht="13.5" customHeight="1" thickBot="1">
      <c r="A47" s="318"/>
      <c r="B47" s="318"/>
      <c r="C47" s="318"/>
      <c r="D47" s="319"/>
      <c r="F47" s="402" t="s">
        <v>116</v>
      </c>
      <c r="H47" s="319"/>
      <c r="I47" s="248">
        <v>-13576.114433184972</v>
      </c>
      <c r="J47" s="10" t="s">
        <v>1</v>
      </c>
      <c r="K47" s="89">
        <v>-7232.152664565907</v>
      </c>
      <c r="L47" s="90">
        <v>16.659734096179015</v>
      </c>
      <c r="M47" s="91">
        <v>101.06785619608334</v>
      </c>
      <c r="N47" s="91">
        <v>99.91492502313537</v>
      </c>
      <c r="O47" s="91">
        <v>0</v>
      </c>
      <c r="P47" s="92">
        <v>2269.783097847904</v>
      </c>
      <c r="Q47" s="10" t="s">
        <v>1</v>
      </c>
      <c r="R47" s="317"/>
      <c r="S47" s="317"/>
      <c r="T47" s="317"/>
      <c r="U47" s="317"/>
      <c r="V47" s="358">
        <f>V12*$AM37</f>
        <v>38150.96698340902</v>
      </c>
      <c r="W47" s="10" t="s">
        <v>1</v>
      </c>
      <c r="X47" s="45">
        <f t="shared" si="13"/>
        <v>-57226.450475113525</v>
      </c>
      <c r="Y47" s="49">
        <f t="shared" si="13"/>
        <v>19075.48349170451</v>
      </c>
      <c r="Z47" s="50">
        <f t="shared" si="13"/>
        <v>19075.48349170451</v>
      </c>
      <c r="AA47" s="50">
        <f t="shared" si="13"/>
        <v>19075.48349170451</v>
      </c>
      <c r="AB47" s="50">
        <f t="shared" si="13"/>
        <v>0</v>
      </c>
      <c r="AC47" s="51">
        <f t="shared" si="13"/>
        <v>-19075.48349170451</v>
      </c>
      <c r="AD47" s="10" t="s">
        <v>1</v>
      </c>
      <c r="AF47" s="317"/>
      <c r="AG47" s="317"/>
      <c r="AH47" s="317"/>
      <c r="AJ47" s="317"/>
      <c r="AK47" s="331">
        <f>V12*$AK37</f>
        <v>81166.60543649177</v>
      </c>
      <c r="AL47" s="10" t="s">
        <v>1</v>
      </c>
      <c r="AM47" s="138">
        <f t="shared" si="14"/>
        <v>-121749.90815473764</v>
      </c>
      <c r="AN47" s="139">
        <f t="shared" si="14"/>
        <v>40583.30271824588</v>
      </c>
      <c r="AO47" s="140">
        <f t="shared" si="14"/>
        <v>40583.30271824588</v>
      </c>
      <c r="AP47" s="140">
        <f t="shared" si="14"/>
        <v>40583.30271824588</v>
      </c>
      <c r="AQ47" s="140">
        <f t="shared" si="14"/>
        <v>0</v>
      </c>
      <c r="AR47" s="141">
        <f t="shared" si="14"/>
        <v>-40583.30271824588</v>
      </c>
      <c r="AS47" s="10" t="s">
        <v>1</v>
      </c>
      <c r="AV47" s="508">
        <f>(AM77+AM109)/X12</f>
        <v>40578.04566581924</v>
      </c>
      <c r="AW47" s="500" t="s">
        <v>1</v>
      </c>
    </row>
    <row r="48" spans="1:44" ht="13.5" customHeight="1">
      <c r="A48" s="318"/>
      <c r="B48" s="318"/>
      <c r="C48" s="318"/>
      <c r="D48" s="319"/>
      <c r="H48" s="319"/>
      <c r="J48" s="380"/>
      <c r="Q48" s="317"/>
      <c r="R48" s="317"/>
      <c r="S48" s="317"/>
      <c r="T48" s="317"/>
      <c r="U48" s="317"/>
      <c r="AF48" s="317"/>
      <c r="AG48" s="317"/>
      <c r="AH48" s="317"/>
      <c r="AJ48" s="317"/>
      <c r="AN48" s="317"/>
      <c r="AO48" s="317"/>
      <c r="AP48" s="317"/>
      <c r="AQ48" s="317"/>
      <c r="AR48" s="317"/>
    </row>
    <row r="49" spans="1:29" ht="13.5" customHeight="1">
      <c r="A49" s="318"/>
      <c r="B49" s="318"/>
      <c r="C49" s="318"/>
      <c r="D49" s="319"/>
      <c r="H49" s="319"/>
      <c r="J49" s="380"/>
      <c r="Q49" s="317"/>
      <c r="R49" s="317"/>
      <c r="S49" s="317"/>
      <c r="T49" s="317"/>
      <c r="U49" s="317"/>
      <c r="V49" s="317"/>
      <c r="W49" s="377" t="s">
        <v>101</v>
      </c>
      <c r="X49" s="317"/>
      <c r="Y49" s="317"/>
      <c r="Z49" s="317"/>
      <c r="AA49" s="317"/>
      <c r="AB49" s="317"/>
      <c r="AC49" s="317"/>
    </row>
    <row r="50" spans="1:50" ht="13.5" customHeight="1" thickBot="1">
      <c r="A50" s="318"/>
      <c r="B50" s="318"/>
      <c r="C50" s="318"/>
      <c r="D50" s="319"/>
      <c r="H50" s="319"/>
      <c r="J50" s="380"/>
      <c r="K50" s="55">
        <v>0</v>
      </c>
      <c r="L50" s="56">
        <v>0</v>
      </c>
      <c r="M50" s="57">
        <v>0</v>
      </c>
      <c r="N50" s="58">
        <v>0</v>
      </c>
      <c r="O50" s="57">
        <v>0</v>
      </c>
      <c r="P50" s="58">
        <v>0</v>
      </c>
      <c r="Q50" s="317"/>
      <c r="R50" s="317"/>
      <c r="S50" s="317"/>
      <c r="T50" s="317"/>
      <c r="U50" s="317"/>
      <c r="V50" s="250">
        <f>SUM(V43:V47)</f>
        <v>8868022.02454606</v>
      </c>
      <c r="W50" s="304" t="s">
        <v>102</v>
      </c>
      <c r="X50" s="2">
        <f>SUM(X43:X47)</f>
        <v>-7467091.236557936</v>
      </c>
      <c r="Y50" s="7">
        <f>SUM(Y43:Y47)</f>
        <v>1507933.6280123508</v>
      </c>
      <c r="Z50" s="8">
        <f>SUM(Z43:Z47)</f>
        <v>1507933.6280123508</v>
      </c>
      <c r="AA50" s="9">
        <f>SUM(AA43:AA47)</f>
        <v>1507933.6280123508</v>
      </c>
      <c r="AB50" s="258">
        <f>SUM(AB43:AB45)</f>
        <v>1454432.208000237</v>
      </c>
      <c r="AC50" s="259">
        <f>SUM(AC43:AC46)</f>
        <v>1488858.1445206462</v>
      </c>
      <c r="AW50" s="317"/>
      <c r="AX50" s="317"/>
    </row>
    <row r="51" spans="1:29" ht="13.5" customHeight="1">
      <c r="A51" s="318"/>
      <c r="B51" s="318"/>
      <c r="C51" s="318"/>
      <c r="D51" s="319"/>
      <c r="H51" s="319"/>
      <c r="J51" s="132" t="s">
        <v>82</v>
      </c>
      <c r="K51" s="10">
        <v>0</v>
      </c>
      <c r="L51" s="10">
        <v>1</v>
      </c>
      <c r="M51" s="10">
        <v>2</v>
      </c>
      <c r="N51" s="10">
        <v>3</v>
      </c>
      <c r="O51" s="10" t="s">
        <v>0</v>
      </c>
      <c r="P51" s="10" t="s">
        <v>1</v>
      </c>
      <c r="Q51" s="317"/>
      <c r="R51" s="317"/>
      <c r="S51" s="317"/>
      <c r="W51" s="309"/>
      <c r="X51" s="10" t="s">
        <v>3</v>
      </c>
      <c r="Y51" s="10" t="s">
        <v>4</v>
      </c>
      <c r="Z51" s="10">
        <v>2</v>
      </c>
      <c r="AA51" s="10">
        <v>3</v>
      </c>
      <c r="AB51" s="10" t="s">
        <v>0</v>
      </c>
      <c r="AC51" s="10" t="s">
        <v>1</v>
      </c>
    </row>
    <row r="52" spans="1:49" ht="13.5" customHeight="1">
      <c r="A52" s="318"/>
      <c r="B52" s="318"/>
      <c r="C52" s="318"/>
      <c r="D52" s="319"/>
      <c r="H52" s="319"/>
      <c r="I52" s="244"/>
      <c r="J52" s="10" t="s">
        <v>3</v>
      </c>
      <c r="K52" s="60">
        <v>103184.15587689757</v>
      </c>
      <c r="L52" s="61">
        <v>-334.6022746249625</v>
      </c>
      <c r="M52" s="62">
        <v>-843.1519802511745</v>
      </c>
      <c r="N52" s="63">
        <v>-1071.411428034544</v>
      </c>
      <c r="O52" s="61">
        <v>-292</v>
      </c>
      <c r="P52" s="63">
        <v>-2922</v>
      </c>
      <c r="Q52" s="10">
        <v>0</v>
      </c>
      <c r="R52" s="317"/>
      <c r="S52" s="317"/>
      <c r="T52" s="317"/>
      <c r="U52" s="317"/>
      <c r="AI52" s="386"/>
      <c r="AJ52" s="432" t="s">
        <v>135</v>
      </c>
      <c r="AW52" s="317"/>
    </row>
    <row r="53" spans="1:49" ht="13.5" customHeight="1" thickBot="1">
      <c r="A53" s="318"/>
      <c r="B53" s="318"/>
      <c r="C53" s="318"/>
      <c r="D53" s="319"/>
      <c r="H53" s="319"/>
      <c r="I53" s="243"/>
      <c r="J53" s="10" t="s">
        <v>4</v>
      </c>
      <c r="K53" s="60">
        <v>-27665.642158836006</v>
      </c>
      <c r="L53" s="69">
        <v>98.4520315584581</v>
      </c>
      <c r="M53" s="70">
        <v>228.96691320310094</v>
      </c>
      <c r="N53" s="71">
        <v>260.28231368428294</v>
      </c>
      <c r="O53" s="72">
        <v>6.01371750042098</v>
      </c>
      <c r="P53" s="71">
        <v>175.83982417397553</v>
      </c>
      <c r="Q53" s="10">
        <v>1</v>
      </c>
      <c r="R53" s="317"/>
      <c r="S53" s="317"/>
      <c r="T53" s="317"/>
      <c r="U53" s="317"/>
      <c r="AI53" s="386"/>
      <c r="AJ53" s="432" t="s">
        <v>147</v>
      </c>
      <c r="AM53" s="65">
        <f aca="true" t="shared" si="15" ref="AM53:AR53">AM40/AM20</f>
        <v>2.1267271029118415</v>
      </c>
      <c r="AN53" s="66">
        <f t="shared" si="15"/>
        <v>1935.2525341351022</v>
      </c>
      <c r="AO53" s="67">
        <f t="shared" si="15"/>
        <v>220.03149082879645</v>
      </c>
      <c r="AP53" s="68">
        <f t="shared" si="15"/>
        <v>47.5108202592101</v>
      </c>
      <c r="AQ53" s="67">
        <f t="shared" si="15"/>
        <v>1159.6270996728265</v>
      </c>
      <c r="AR53" s="68">
        <f t="shared" si="15"/>
        <v>20.719993193063267</v>
      </c>
      <c r="AS53" s="317"/>
      <c r="AV53" s="504" t="s">
        <v>172</v>
      </c>
      <c r="AW53" s="505" t="s">
        <v>196</v>
      </c>
    </row>
    <row r="54" spans="1:49" ht="13.5" customHeight="1" thickBot="1">
      <c r="A54" s="318"/>
      <c r="B54" s="318"/>
      <c r="C54" s="318"/>
      <c r="D54" s="319"/>
      <c r="H54" s="319"/>
      <c r="I54" s="243"/>
      <c r="J54" s="10" t="s">
        <v>6</v>
      </c>
      <c r="K54" s="77">
        <v>-26185.707477358297</v>
      </c>
      <c r="L54" s="78">
        <v>87.37068659585441</v>
      </c>
      <c r="M54" s="72">
        <v>138.82589049993257</v>
      </c>
      <c r="N54" s="79">
        <v>249.66317684959682</v>
      </c>
      <c r="O54" s="72">
        <v>10.333569806458991</v>
      </c>
      <c r="P54" s="79">
        <v>229.21751799187078</v>
      </c>
      <c r="Q54" s="10">
        <v>2</v>
      </c>
      <c r="R54" s="317"/>
      <c r="S54" s="317"/>
      <c r="T54" s="317"/>
      <c r="U54" s="317"/>
      <c r="V54" s="249">
        <f>-V104</f>
        <v>-4.440892098500626E-16</v>
      </c>
      <c r="W54" s="96" t="s">
        <v>177</v>
      </c>
      <c r="X54" s="535">
        <f>-X104</f>
        <v>-309552.4676306927</v>
      </c>
      <c r="Y54" s="521">
        <f>AE23</f>
        <v>100.42993724159419</v>
      </c>
      <c r="Z54" s="522">
        <f>AE24</f>
        <v>843.1990324636381</v>
      </c>
      <c r="AA54" s="523">
        <f>AE25</f>
        <v>3214.281613592473</v>
      </c>
      <c r="AB54" s="258">
        <f>AQ7</f>
        <v>876</v>
      </c>
      <c r="AC54" s="259">
        <f>AR7</f>
        <v>8766</v>
      </c>
      <c r="AE54" s="440" t="s">
        <v>170</v>
      </c>
      <c r="AF54" s="407"/>
      <c r="AK54" s="475"/>
      <c r="AL54" s="359" t="s">
        <v>181</v>
      </c>
      <c r="AM54" s="10" t="s">
        <v>3</v>
      </c>
      <c r="AN54" s="10" t="s">
        <v>4</v>
      </c>
      <c r="AO54" s="10">
        <v>2</v>
      </c>
      <c r="AP54" s="10">
        <v>3</v>
      </c>
      <c r="AQ54" s="10" t="s">
        <v>0</v>
      </c>
      <c r="AR54" s="10" t="s">
        <v>1</v>
      </c>
      <c r="AS54" s="317"/>
      <c r="AT54" s="53" t="s">
        <v>78</v>
      </c>
      <c r="AV54" s="506" t="s">
        <v>197</v>
      </c>
      <c r="AW54" s="507"/>
    </row>
    <row r="55" spans="1:49" ht="13.5" customHeight="1">
      <c r="A55" s="318"/>
      <c r="B55" s="318"/>
      <c r="C55" s="318"/>
      <c r="D55" s="319"/>
      <c r="H55" s="319"/>
      <c r="I55" s="242"/>
      <c r="J55" s="10" t="s">
        <v>7</v>
      </c>
      <c r="K55" s="411">
        <v>-21740.619707288497</v>
      </c>
      <c r="L55" s="82">
        <v>65.51039914365612</v>
      </c>
      <c r="M55" s="83">
        <v>172.3978581701102</v>
      </c>
      <c r="N55" s="84">
        <v>161.81225732893614</v>
      </c>
      <c r="O55" s="72">
        <v>8.162539380836265</v>
      </c>
      <c r="P55" s="79">
        <v>181.36478186828654</v>
      </c>
      <c r="Q55" s="10">
        <v>3</v>
      </c>
      <c r="R55" s="317"/>
      <c r="S55" s="317"/>
      <c r="T55" s="317"/>
      <c r="U55" s="317"/>
      <c r="V55" s="317"/>
      <c r="W55" s="317"/>
      <c r="X55" s="10" t="s">
        <v>3</v>
      </c>
      <c r="Y55" s="10" t="s">
        <v>4</v>
      </c>
      <c r="Z55" s="10">
        <v>2</v>
      </c>
      <c r="AA55" s="10">
        <v>3</v>
      </c>
      <c r="AB55" s="10" t="s">
        <v>0</v>
      </c>
      <c r="AC55" s="10" t="s">
        <v>1</v>
      </c>
      <c r="AF55" s="378"/>
      <c r="AI55" s="435"/>
      <c r="AJ55" s="433" t="s">
        <v>169</v>
      </c>
      <c r="AK55" s="275">
        <f aca="true" t="shared" si="16" ref="AK55:AK60">AK42/AK22</f>
        <v>1</v>
      </c>
      <c r="AL55" s="10" t="s">
        <v>3</v>
      </c>
      <c r="AM55" s="275">
        <f aca="true" t="shared" si="17" ref="AM55:AP60">AM42/AM22</f>
        <v>2.126698704081324</v>
      </c>
      <c r="AN55" s="262">
        <f t="shared" si="17"/>
        <v>1935.22661373424</v>
      </c>
      <c r="AO55" s="263">
        <f t="shared" si="17"/>
        <v>220.02662653861805</v>
      </c>
      <c r="AP55" s="264">
        <f t="shared" si="17"/>
        <v>47.50991265629981</v>
      </c>
      <c r="AQ55" s="239"/>
      <c r="AR55" s="240"/>
      <c r="AS55" s="10" t="s">
        <v>3</v>
      </c>
      <c r="AT55" s="310"/>
      <c r="AV55" s="464"/>
      <c r="AW55" s="500" t="s">
        <v>3</v>
      </c>
    </row>
    <row r="56" spans="1:49" ht="13.5" customHeight="1">
      <c r="A56" s="318"/>
      <c r="B56" s="318"/>
      <c r="C56" s="318"/>
      <c r="D56" s="319"/>
      <c r="H56" s="319"/>
      <c r="I56" s="247">
        <v>-107883.50241534592</v>
      </c>
      <c r="J56" s="10" t="s">
        <v>0</v>
      </c>
      <c r="K56" s="77">
        <v>-20360.10926817145</v>
      </c>
      <c r="L56" s="72">
        <v>66.6043502652029</v>
      </c>
      <c r="M56" s="72">
        <v>201.89866746424488</v>
      </c>
      <c r="N56" s="72">
        <v>299.7398226098099</v>
      </c>
      <c r="O56" s="72">
        <v>267.49017331228373</v>
      </c>
      <c r="P56" s="79">
        <v>65.80421480598802</v>
      </c>
      <c r="Q56" s="10" t="s">
        <v>0</v>
      </c>
      <c r="R56" s="317"/>
      <c r="S56" s="317"/>
      <c r="T56" s="317"/>
      <c r="U56" s="317"/>
      <c r="AF56" s="34"/>
      <c r="AI56" s="317"/>
      <c r="AJ56" s="317"/>
      <c r="AK56" s="345">
        <f t="shared" si="16"/>
        <v>1.000003613060573</v>
      </c>
      <c r="AL56" s="10" t="s">
        <v>4</v>
      </c>
      <c r="AM56" s="286">
        <f t="shared" si="17"/>
        <v>2.1267422004281524</v>
      </c>
      <c r="AN56" s="126">
        <f t="shared" si="17"/>
        <v>1935.3054839223103</v>
      </c>
      <c r="AO56" s="126">
        <f t="shared" si="17"/>
        <v>220.0338101961415</v>
      </c>
      <c r="AP56" s="127">
        <f t="shared" si="17"/>
        <v>47.5110715874868</v>
      </c>
      <c r="AQ56" s="128">
        <f aca="true" t="shared" si="18" ref="AQ56:AR59">AQ43/AQ23</f>
        <v>1159.6200312061421</v>
      </c>
      <c r="AR56" s="127">
        <f t="shared" si="18"/>
        <v>20.72001583638666</v>
      </c>
      <c r="AS56" s="10" t="s">
        <v>4</v>
      </c>
      <c r="AT56" s="362">
        <f>AN53</f>
        <v>1935.2525341351022</v>
      </c>
      <c r="AV56" s="508">
        <f>(AT56*AT8*AT73)^AE8</f>
        <v>1177758.8508341964</v>
      </c>
      <c r="AW56" s="500" t="s">
        <v>4</v>
      </c>
    </row>
    <row r="57" spans="1:49" ht="13.5" customHeight="1" thickBot="1">
      <c r="A57" s="318"/>
      <c r="B57" s="318"/>
      <c r="C57" s="318"/>
      <c r="D57" s="317"/>
      <c r="I57" s="248">
        <v>-13566.272283638446</v>
      </c>
      <c r="J57" s="10" t="s">
        <v>1</v>
      </c>
      <c r="K57" s="89">
        <v>-7232.077265243323</v>
      </c>
      <c r="L57" s="90">
        <v>16.664807061790437</v>
      </c>
      <c r="M57" s="91">
        <v>101.06265091378576</v>
      </c>
      <c r="N57" s="91">
        <v>99.91385756191855</v>
      </c>
      <c r="O57" s="91">
        <v>0</v>
      </c>
      <c r="P57" s="92">
        <v>2269.7736611598784</v>
      </c>
      <c r="Q57" s="10" t="s">
        <v>1</v>
      </c>
      <c r="R57" s="317"/>
      <c r="S57" s="317"/>
      <c r="T57" s="317"/>
      <c r="U57" s="317"/>
      <c r="V57" s="249">
        <f>V54+V17</f>
        <v>-4.440892098500626E-16</v>
      </c>
      <c r="W57" s="132" t="s">
        <v>52</v>
      </c>
      <c r="X57" s="536">
        <f>-GPE!F14</f>
        <v>-309552.4676306927</v>
      </c>
      <c r="Y57" s="3">
        <f>Y54+Y17-Y102</f>
        <v>100.42993724159422</v>
      </c>
      <c r="Z57" s="4">
        <f>Z54+Z17-Z102</f>
        <v>843.1990324636381</v>
      </c>
      <c r="AA57" s="5">
        <f>AA54+AA17-AA102</f>
        <v>3214.2816135924736</v>
      </c>
      <c r="AB57" s="258">
        <f>AB54+AB17-AB102+AE26</f>
        <v>73.52665819928427</v>
      </c>
      <c r="AC57" s="259">
        <f>AC54+AC17-AC102+AE27</f>
        <v>1956.5979908210438</v>
      </c>
      <c r="AD57" s="317"/>
      <c r="AE57" s="6" t="s">
        <v>75</v>
      </c>
      <c r="AF57" s="34"/>
      <c r="AG57" s="407"/>
      <c r="AH57" s="407"/>
      <c r="AI57" s="386"/>
      <c r="AJ57" s="432" t="s">
        <v>148</v>
      </c>
      <c r="AK57" s="347">
        <f t="shared" si="16"/>
        <v>0.999996100605858</v>
      </c>
      <c r="AL57" s="10" t="s">
        <v>6</v>
      </c>
      <c r="AM57" s="287">
        <f t="shared" si="17"/>
        <v>2.126728510006033</v>
      </c>
      <c r="AN57" s="128">
        <f t="shared" si="17"/>
        <v>1935.2834443698953</v>
      </c>
      <c r="AO57" s="128">
        <f t="shared" si="17"/>
        <v>220.03000252290252</v>
      </c>
      <c r="AP57" s="131">
        <f t="shared" si="17"/>
        <v>47.510769588873934</v>
      </c>
      <c r="AQ57" s="128">
        <f t="shared" si="18"/>
        <v>1159.6210324726237</v>
      </c>
      <c r="AR57" s="131">
        <f t="shared" si="18"/>
        <v>20.720029468859433</v>
      </c>
      <c r="AS57" s="10" t="s">
        <v>6</v>
      </c>
      <c r="AT57" s="363">
        <f>AO53</f>
        <v>220.03149082879645</v>
      </c>
      <c r="AU57" s="317"/>
      <c r="AV57" s="508">
        <f>(AT57*AT9*AT74)^AE9</f>
        <v>1006096.1465722991</v>
      </c>
      <c r="AW57" s="500" t="s">
        <v>6</v>
      </c>
    </row>
    <row r="58" spans="1:49" ht="13.5" customHeight="1">
      <c r="A58" s="318"/>
      <c r="B58" s="318"/>
      <c r="C58" s="318"/>
      <c r="R58" s="317"/>
      <c r="S58" s="317"/>
      <c r="T58" s="317"/>
      <c r="U58" s="317"/>
      <c r="W58" s="317"/>
      <c r="X58" s="10" t="s">
        <v>3</v>
      </c>
      <c r="Y58" s="10" t="s">
        <v>4</v>
      </c>
      <c r="Z58" s="10">
        <v>2</v>
      </c>
      <c r="AA58" s="10">
        <v>3</v>
      </c>
      <c r="AB58" s="10" t="s">
        <v>0</v>
      </c>
      <c r="AC58" s="10" t="s">
        <v>1</v>
      </c>
      <c r="AD58" s="317"/>
      <c r="AE58" s="317"/>
      <c r="AF58" s="34"/>
      <c r="AG58" s="378"/>
      <c r="AH58" s="378"/>
      <c r="AI58" s="386"/>
      <c r="AJ58" s="432" t="s">
        <v>134</v>
      </c>
      <c r="AK58" s="349">
        <f t="shared" si="16"/>
        <v>0.9999976448800679</v>
      </c>
      <c r="AL58" s="10" t="s">
        <v>7</v>
      </c>
      <c r="AM58" s="288">
        <f t="shared" si="17"/>
        <v>2.1267310207716825</v>
      </c>
      <c r="AN58" s="135">
        <f t="shared" si="17"/>
        <v>1935.274162047033</v>
      </c>
      <c r="AO58" s="135">
        <f t="shared" si="17"/>
        <v>220.03244777149587</v>
      </c>
      <c r="AP58" s="136">
        <f t="shared" si="17"/>
        <v>47.510615472385076</v>
      </c>
      <c r="AQ58" s="128">
        <f t="shared" si="18"/>
        <v>1159.6219099086284</v>
      </c>
      <c r="AR58" s="131">
        <f t="shared" si="18"/>
        <v>20.720024411567543</v>
      </c>
      <c r="AS58" s="10" t="s">
        <v>7</v>
      </c>
      <c r="AT58" s="364">
        <f>AP53</f>
        <v>47.5108202592101</v>
      </c>
      <c r="AU58" s="378"/>
      <c r="AV58" s="508">
        <f>(AT58*AT10*AT75)^AE10</f>
        <v>909311.4213527635</v>
      </c>
      <c r="AW58" s="500" t="s">
        <v>7</v>
      </c>
    </row>
    <row r="59" spans="1:49" ht="13.5" customHeight="1">
      <c r="A59" s="318"/>
      <c r="B59" s="318"/>
      <c r="C59" s="318"/>
      <c r="I59" s="471" t="s">
        <v>173</v>
      </c>
      <c r="R59" s="317"/>
      <c r="S59" s="317"/>
      <c r="AG59" s="34"/>
      <c r="AH59" s="34"/>
      <c r="AI59" s="386"/>
      <c r="AJ59" s="386"/>
      <c r="AK59" s="366">
        <f t="shared" si="16"/>
        <v>1.0000132182897508</v>
      </c>
      <c r="AL59" s="10" t="s">
        <v>0</v>
      </c>
      <c r="AM59" s="104">
        <f t="shared" si="17"/>
        <v>2.1269655447180265</v>
      </c>
      <c r="AN59" s="128">
        <f t="shared" si="17"/>
        <v>1935.4998462593535</v>
      </c>
      <c r="AO59" s="128">
        <f t="shared" si="17"/>
        <v>220.05903420757105</v>
      </c>
      <c r="AP59" s="128">
        <f t="shared" si="17"/>
        <v>47.51832131938267</v>
      </c>
      <c r="AQ59" s="265">
        <f t="shared" si="18"/>
        <v>1159.399682062405</v>
      </c>
      <c r="AR59" s="131">
        <f t="shared" si="18"/>
        <v>20.717703118877154</v>
      </c>
      <c r="AS59" s="10" t="s">
        <v>0</v>
      </c>
      <c r="AT59" s="306">
        <f>-AQ53</f>
        <v>-1159.6270996728265</v>
      </c>
      <c r="AU59" s="125"/>
      <c r="AV59" s="508">
        <f>(AT59*AT11*AT76)^AE11</f>
        <v>73228.58911450215</v>
      </c>
      <c r="AW59" s="500" t="s">
        <v>0</v>
      </c>
    </row>
    <row r="60" spans="1:49" ht="13.5" customHeight="1" thickBot="1">
      <c r="A60" s="318"/>
      <c r="B60" s="318"/>
      <c r="C60" s="318"/>
      <c r="G60" s="478" t="s">
        <v>188</v>
      </c>
      <c r="I60" s="108">
        <v>6.322881968833247</v>
      </c>
      <c r="O60" s="393">
        <v>-865.6354402534652</v>
      </c>
      <c r="P60" s="58">
        <v>-8768.180519422884</v>
      </c>
      <c r="Q60" s="317"/>
      <c r="R60" s="317"/>
      <c r="S60" s="317"/>
      <c r="AG60" s="34"/>
      <c r="AH60" s="34"/>
      <c r="AI60" s="386"/>
      <c r="AJ60" s="386"/>
      <c r="AK60" s="368">
        <f t="shared" si="16"/>
        <v>1.0000979865744684</v>
      </c>
      <c r="AL60" s="10" t="s">
        <v>1</v>
      </c>
      <c r="AM60" s="109">
        <f t="shared" si="17"/>
        <v>2.1271631838771166</v>
      </c>
      <c r="AN60" s="142">
        <f t="shared" si="17"/>
        <v>1935.220319074469</v>
      </c>
      <c r="AO60" s="143">
        <f t="shared" si="17"/>
        <v>220.0861892527418</v>
      </c>
      <c r="AP60" s="143">
        <f t="shared" si="17"/>
        <v>47.51790336787049</v>
      </c>
      <c r="AQ60" s="369"/>
      <c r="AR60" s="266">
        <f>AR47/AR27</f>
        <v>20.71867876128171</v>
      </c>
      <c r="AS60" s="10" t="s">
        <v>1</v>
      </c>
      <c r="AT60" s="361">
        <f>-AR53</f>
        <v>-20.719993193063267</v>
      </c>
      <c r="AU60" s="125"/>
      <c r="AV60" s="508">
        <f>(AT60*AT12*AT77)^AE12</f>
        <v>40580.094474419006</v>
      </c>
      <c r="AW60" s="500" t="s">
        <v>1</v>
      </c>
    </row>
    <row r="61" spans="1:47" ht="13.5" customHeight="1">
      <c r="A61" s="318"/>
      <c r="B61" s="318"/>
      <c r="C61" s="318"/>
      <c r="I61" s="501">
        <f>IState!F11</f>
        <v>7</v>
      </c>
      <c r="O61" s="508">
        <f>Utility!J41</f>
        <v>-863.245044730909</v>
      </c>
      <c r="P61" s="508">
        <f>Utility!K42</f>
        <v>-8725.940102356843</v>
      </c>
      <c r="Q61" s="317"/>
      <c r="R61" s="317"/>
      <c r="S61" s="317"/>
      <c r="AG61" s="34"/>
      <c r="AH61" s="34"/>
      <c r="AU61" s="125"/>
    </row>
    <row r="62" spans="1:19" ht="13.5" customHeight="1">
      <c r="A62" s="318"/>
      <c r="B62" s="318"/>
      <c r="C62" s="318"/>
      <c r="S62" s="317"/>
    </row>
    <row r="63" spans="1:44" ht="13.5" customHeight="1">
      <c r="A63" s="318"/>
      <c r="B63" s="318"/>
      <c r="C63" s="318"/>
      <c r="G63" s="428"/>
      <c r="H63" s="317"/>
      <c r="I63" s="302"/>
      <c r="J63" s="374"/>
      <c r="K63" s="374"/>
      <c r="L63" s="374"/>
      <c r="M63" s="374"/>
      <c r="R63" s="317"/>
      <c r="S63" s="317"/>
      <c r="V63" s="501">
        <f>1/GPE!F26</f>
        <v>0.5</v>
      </c>
      <c r="W63" s="317"/>
      <c r="X63" s="501">
        <f>1</f>
        <v>1</v>
      </c>
      <c r="Y63" s="502">
        <f>AN63/$AM63</f>
        <v>934.5199679147429</v>
      </c>
      <c r="Z63" s="502">
        <f>AO63/$AM63</f>
        <v>106.90793884306318</v>
      </c>
      <c r="AA63" s="502">
        <f>AP63/$AM63</f>
        <v>22.941557151144686</v>
      </c>
      <c r="AB63" s="502">
        <f>AQ63/$AM63</f>
        <v>559.2964976744476</v>
      </c>
      <c r="AC63" s="502">
        <f>AR63/$AM63</f>
        <v>10</v>
      </c>
      <c r="AF63" s="34"/>
      <c r="AG63" s="34"/>
      <c r="AH63" s="34"/>
      <c r="AK63" s="501">
        <v>1</v>
      </c>
      <c r="AM63" s="501">
        <f>GPE!F26</f>
        <v>2</v>
      </c>
      <c r="AN63" s="502">
        <f>GPE!G26</f>
        <v>1869.0399358294858</v>
      </c>
      <c r="AO63" s="502">
        <f>GPE!H26</f>
        <v>213.81587768612636</v>
      </c>
      <c r="AP63" s="502">
        <f>GPE!I26</f>
        <v>45.88311430228937</v>
      </c>
      <c r="AQ63" s="502">
        <f>GPE!J26</f>
        <v>1118.592995348895</v>
      </c>
      <c r="AR63" s="502">
        <f>GPE!K26</f>
        <v>20</v>
      </c>
    </row>
    <row r="64" spans="1:44" ht="13.5" customHeight="1" thickBot="1">
      <c r="A64" s="318"/>
      <c r="B64" s="318"/>
      <c r="G64" s="457" t="s">
        <v>187</v>
      </c>
      <c r="H64" s="317"/>
      <c r="I64" s="245">
        <f>K64/K72-V0</f>
        <v>0.10431795196144433</v>
      </c>
      <c r="K64" s="479">
        <f>-SUM(L64:P64)</f>
        <v>-250432.2368228319</v>
      </c>
      <c r="L64" s="3">
        <f>Y64*Y54</f>
        <v>91387.9421291828</v>
      </c>
      <c r="M64" s="4">
        <f>Z64*Z54</f>
        <v>87237.63403563904</v>
      </c>
      <c r="N64" s="5">
        <f>AA64*AA54</f>
        <v>71806.66065801003</v>
      </c>
      <c r="O64" s="258"/>
      <c r="P64" s="259"/>
      <c r="R64" s="486" t="s">
        <v>192</v>
      </c>
      <c r="S64" s="317"/>
      <c r="T64" s="317"/>
      <c r="U64" s="418" t="s">
        <v>145</v>
      </c>
      <c r="V64" s="495">
        <f>V72/(AK42-V22)</f>
        <v>0.4702060732807865</v>
      </c>
      <c r="W64" s="53" t="s">
        <v>20</v>
      </c>
      <c r="X64" s="65">
        <f aca="true" t="shared" si="19" ref="X64:AC64">X50/(AM17+X57)</f>
        <v>1.0000045036884475</v>
      </c>
      <c r="Y64" s="66">
        <f t="shared" si="19"/>
        <v>909.967133697794</v>
      </c>
      <c r="Z64" s="67">
        <f t="shared" si="19"/>
        <v>103.46031088383756</v>
      </c>
      <c r="AA64" s="68">
        <f t="shared" si="19"/>
        <v>22.339878483066272</v>
      </c>
      <c r="AB64" s="67">
        <f t="shared" si="19"/>
        <v>545.2635441633148</v>
      </c>
      <c r="AC64" s="68">
        <f t="shared" si="19"/>
        <v>9.742652276115821</v>
      </c>
      <c r="AD64" s="428"/>
      <c r="AE64" s="384" t="s">
        <v>149</v>
      </c>
      <c r="AF64" s="34"/>
      <c r="AG64" s="34"/>
      <c r="AH64" s="34"/>
      <c r="AI64" s="386"/>
      <c r="AJ64" s="432" t="s">
        <v>182</v>
      </c>
      <c r="AK64" s="245">
        <f>P0*Chi</f>
        <v>1.0000000000000002</v>
      </c>
      <c r="AL64" s="132" t="s">
        <v>95</v>
      </c>
      <c r="AM64" s="65">
        <f>AM40/(X70+X20)</f>
        <v>2.1267271029118415</v>
      </c>
      <c r="AN64" s="66">
        <f>P0*Y64</f>
        <v>1935.2517659941018</v>
      </c>
      <c r="AO64" s="67">
        <f>P0*Z64</f>
        <v>220.03184723234233</v>
      </c>
      <c r="AP64" s="68">
        <f>P0*AA64</f>
        <v>47.51082504569412</v>
      </c>
      <c r="AQ64" s="67">
        <f>P0*AB64</f>
        <v>1159.6267576018895</v>
      </c>
      <c r="AR64" s="68">
        <f>P0*AC64</f>
        <v>20.71996264986126</v>
      </c>
    </row>
    <row r="65" spans="1:44" ht="13.5" customHeight="1">
      <c r="A65" s="318"/>
      <c r="B65" s="318"/>
      <c r="H65" s="317"/>
      <c r="I65" s="317"/>
      <c r="J65" s="374"/>
      <c r="K65" s="480" t="s">
        <v>3</v>
      </c>
      <c r="L65" s="10" t="s">
        <v>4</v>
      </c>
      <c r="M65" s="10">
        <v>2</v>
      </c>
      <c r="N65" s="10">
        <v>3</v>
      </c>
      <c r="O65" s="10" t="s">
        <v>0</v>
      </c>
      <c r="P65" s="10" t="s">
        <v>1</v>
      </c>
      <c r="R65" s="317"/>
      <c r="S65" s="317"/>
      <c r="T65" s="12" t="s">
        <v>126</v>
      </c>
      <c r="U65" s="317"/>
      <c r="V65" s="406" t="s">
        <v>119</v>
      </c>
      <c r="W65" s="359"/>
      <c r="X65" s="10" t="s">
        <v>3</v>
      </c>
      <c r="Y65" s="10" t="s">
        <v>4</v>
      </c>
      <c r="Z65" s="10">
        <v>2</v>
      </c>
      <c r="AA65" s="10">
        <v>3</v>
      </c>
      <c r="AB65" s="10" t="s">
        <v>0</v>
      </c>
      <c r="AC65" s="10" t="s">
        <v>1</v>
      </c>
      <c r="AD65" s="428"/>
      <c r="AE65" s="436" t="s">
        <v>120</v>
      </c>
      <c r="AI65" s="476" t="s">
        <v>183</v>
      </c>
      <c r="AM65" s="10" t="s">
        <v>3</v>
      </c>
      <c r="AN65" s="10" t="s">
        <v>4</v>
      </c>
      <c r="AO65" s="10">
        <v>2</v>
      </c>
      <c r="AP65" s="10">
        <v>3</v>
      </c>
      <c r="AQ65" s="10" t="s">
        <v>0</v>
      </c>
      <c r="AR65" s="10" t="s">
        <v>1</v>
      </c>
    </row>
    <row r="66" spans="1:33" ht="13.5" customHeight="1">
      <c r="A66" s="318"/>
      <c r="B66" s="318"/>
      <c r="R66" s="317"/>
      <c r="S66" s="317"/>
      <c r="T66" s="317"/>
      <c r="U66" s="317"/>
      <c r="AD66" s="317"/>
      <c r="AF66" s="428"/>
      <c r="AG66" s="428"/>
    </row>
    <row r="67" spans="1:37" ht="13.5" customHeight="1">
      <c r="A67" s="318"/>
      <c r="B67" s="318"/>
      <c r="G67" s="455" t="s">
        <v>167</v>
      </c>
      <c r="I67" s="501">
        <f>IState!D11</f>
        <v>0.5131581182307065</v>
      </c>
      <c r="R67" s="317"/>
      <c r="S67" s="317"/>
      <c r="T67" s="317"/>
      <c r="U67" s="317"/>
      <c r="AF67" s="428"/>
      <c r="AG67" s="428"/>
      <c r="AH67" s="428"/>
      <c r="AK67" s="446"/>
    </row>
    <row r="68" spans="1:19" ht="13.5" customHeight="1" thickBot="1">
      <c r="A68" s="318"/>
      <c r="B68" s="318"/>
      <c r="G68" s="456" t="s">
        <v>176</v>
      </c>
      <c r="I68" s="245">
        <f>(1-Nu/V0)^(-Term*V0)</f>
        <v>0.533974956050737</v>
      </c>
      <c r="R68" s="317"/>
      <c r="S68" s="317"/>
    </row>
    <row r="69" spans="1:19" ht="13.5" customHeight="1">
      <c r="A69" s="318"/>
      <c r="B69" s="318"/>
      <c r="D69" s="477"/>
      <c r="E69" s="374"/>
      <c r="F69" s="374"/>
      <c r="R69" s="317"/>
      <c r="S69" s="317"/>
    </row>
    <row r="70" spans="1:46" ht="13.5" customHeight="1" thickBot="1">
      <c r="A70" s="318"/>
      <c r="B70" s="318"/>
      <c r="D70" s="374"/>
      <c r="F70" s="374"/>
      <c r="R70" s="317"/>
      <c r="S70" s="317"/>
      <c r="W70" s="317"/>
      <c r="X70" s="2">
        <f>-SUM(Y70:AC70)</f>
        <v>8868020.065388164</v>
      </c>
      <c r="Y70" s="7">
        <f>Y$64*AN5</f>
        <v>-2061732.5198225235</v>
      </c>
      <c r="Z70" s="8">
        <f>Z$64*AO5</f>
        <v>-1981016.0307439652</v>
      </c>
      <c r="AA70" s="9">
        <f>AA$64*AP5</f>
        <v>-1935504.8498711656</v>
      </c>
      <c r="AB70" s="8">
        <f>AB$64*AQ5</f>
        <v>-1419992.2183410984</v>
      </c>
      <c r="AC70" s="9">
        <f>AC$64*AR5</f>
        <v>-1469774.4466094112</v>
      </c>
      <c r="AD70" s="317"/>
      <c r="AE70" s="317"/>
      <c r="AF70" s="428"/>
      <c r="AG70" s="428"/>
      <c r="AH70" s="428"/>
      <c r="AL70" s="317"/>
      <c r="AM70" s="112">
        <f>-SUM(AN70:AR70)</f>
        <v>18859858.62222705</v>
      </c>
      <c r="AN70" s="113">
        <f>AN$64*AN5</f>
        <v>-4384742.4288612865</v>
      </c>
      <c r="AO70" s="114">
        <f>AO$64*AO5</f>
        <v>-4213080.483886029</v>
      </c>
      <c r="AP70" s="115">
        <f>AP$64*AP5</f>
        <v>-4116290.622038323</v>
      </c>
      <c r="AQ70" s="114">
        <f>AQ$64*AQ5</f>
        <v>-3019935.936669924</v>
      </c>
      <c r="AR70" s="115">
        <f>AR$64*AR5</f>
        <v>-3125809.150771488</v>
      </c>
      <c r="AT70" s="419" t="s">
        <v>172</v>
      </c>
    </row>
    <row r="71" spans="1:46" ht="13.5" customHeight="1">
      <c r="A71" s="318"/>
      <c r="B71" s="318"/>
      <c r="C71" s="318"/>
      <c r="D71" s="374"/>
      <c r="E71" s="374"/>
      <c r="F71" s="374"/>
      <c r="G71" s="403" t="s">
        <v>164</v>
      </c>
      <c r="I71" s="452" t="s">
        <v>118</v>
      </c>
      <c r="K71" s="454" t="s">
        <v>105</v>
      </c>
      <c r="S71" s="317"/>
      <c r="V71" s="304" t="s">
        <v>10</v>
      </c>
      <c r="W71" s="304" t="s">
        <v>89</v>
      </c>
      <c r="X71" s="10" t="s">
        <v>3</v>
      </c>
      <c r="Y71" s="10" t="s">
        <v>4</v>
      </c>
      <c r="Z71" s="10">
        <v>2</v>
      </c>
      <c r="AA71" s="10">
        <v>3</v>
      </c>
      <c r="AB71" s="10" t="s">
        <v>0</v>
      </c>
      <c r="AC71" s="10" t="s">
        <v>1</v>
      </c>
      <c r="AD71" s="317"/>
      <c r="AE71" s="317"/>
      <c r="AG71" s="434"/>
      <c r="AH71" s="434"/>
      <c r="AK71" s="11" t="s">
        <v>2</v>
      </c>
      <c r="AL71" s="401" t="s">
        <v>117</v>
      </c>
      <c r="AM71" s="10" t="s">
        <v>3</v>
      </c>
      <c r="AN71" s="10" t="s">
        <v>4</v>
      </c>
      <c r="AO71" s="10">
        <v>2</v>
      </c>
      <c r="AP71" s="10">
        <v>3</v>
      </c>
      <c r="AQ71" s="10" t="s">
        <v>0</v>
      </c>
      <c r="AR71" s="10" t="s">
        <v>1</v>
      </c>
      <c r="AT71" s="420" t="s">
        <v>117</v>
      </c>
    </row>
    <row r="72" spans="1:46" ht="13.5" customHeight="1" thickBot="1">
      <c r="A72" s="318"/>
      <c r="B72" s="318"/>
      <c r="C72" s="318"/>
      <c r="G72" s="447" t="s">
        <v>166</v>
      </c>
      <c r="I72" s="245">
        <f>1/(1+Nu*Term*Kappa/Gamma)</f>
        <v>0.5339752971212194</v>
      </c>
      <c r="J72" s="10" t="s">
        <v>3</v>
      </c>
      <c r="K72" s="14">
        <f>-SUM(K73:K77)</f>
        <v>-226775.48289242643</v>
      </c>
      <c r="L72" s="483" t="s">
        <v>175</v>
      </c>
      <c r="V72" s="14">
        <f>-SUM(V73:V77)</f>
        <v>-8868020.065388164</v>
      </c>
      <c r="W72" s="10" t="s">
        <v>3</v>
      </c>
      <c r="X72" s="272">
        <f>-X70-SUM(X73:X77)</f>
        <v>-1710514.9257620033</v>
      </c>
      <c r="Y72" s="23">
        <f aca="true" t="shared" si="20" ref="Y72:AC76">Y$64*AN7</f>
        <v>645186.8339393553</v>
      </c>
      <c r="Z72" s="24">
        <f t="shared" si="20"/>
        <v>560320.0367672531</v>
      </c>
      <c r="AA72" s="25">
        <f t="shared" si="20"/>
        <v>499377.882516825</v>
      </c>
      <c r="AB72" s="23">
        <f t="shared" si="20"/>
        <v>477650.8646870638</v>
      </c>
      <c r="AC72" s="25">
        <f t="shared" si="20"/>
        <v>85404.0898524313</v>
      </c>
      <c r="AD72" s="10" t="s">
        <v>3</v>
      </c>
      <c r="AE72" s="317"/>
      <c r="AG72" s="317"/>
      <c r="AH72" s="317"/>
      <c r="AK72" s="119">
        <f>-SUM(AK73:AK77)</f>
        <v>-18859858.62222705</v>
      </c>
      <c r="AL72" s="10" t="s">
        <v>3</v>
      </c>
      <c r="AM72" s="119">
        <f>-AM70-SUM(AM73:AM77)</f>
        <v>-3637798.452553291</v>
      </c>
      <c r="AN72" s="120">
        <f aca="true" t="shared" si="21" ref="AN72:AR77">AN$64*AN7</f>
        <v>1372136.3261807086</v>
      </c>
      <c r="AO72" s="121">
        <f t="shared" si="21"/>
        <v>1191647.8084974769</v>
      </c>
      <c r="AP72" s="122">
        <f t="shared" si="21"/>
        <v>1062040.4773432573</v>
      </c>
      <c r="AQ72" s="120">
        <f t="shared" si="21"/>
        <v>1015833.0396592552</v>
      </c>
      <c r="AR72" s="122">
        <f t="shared" si="21"/>
        <v>181631.1925886838</v>
      </c>
      <c r="AS72" s="10" t="s">
        <v>3</v>
      </c>
      <c r="AT72" s="412"/>
    </row>
    <row r="73" spans="1:46" ht="13.5" customHeight="1">
      <c r="A73" s="318"/>
      <c r="B73" s="318"/>
      <c r="C73" s="318"/>
      <c r="J73" s="10" t="s">
        <v>4</v>
      </c>
      <c r="K73" s="283">
        <f>-K23</f>
        <v>82996.70708436362</v>
      </c>
      <c r="V73" s="355">
        <f>Y72-X73</f>
        <v>3331128.941040341</v>
      </c>
      <c r="W73" s="10" t="s">
        <v>4</v>
      </c>
      <c r="X73" s="283">
        <f>-SUM(Y73:AC73)</f>
        <v>-2685942.1071009855</v>
      </c>
      <c r="Y73" s="32">
        <f t="shared" si="20"/>
        <v>526891.1065586421</v>
      </c>
      <c r="Z73" s="32">
        <f t="shared" si="20"/>
        <v>530097.2199212324</v>
      </c>
      <c r="AA73" s="33">
        <f t="shared" si="20"/>
        <v>536344.7517139306</v>
      </c>
      <c r="AB73" s="34">
        <f t="shared" si="20"/>
        <v>543958.0546586963</v>
      </c>
      <c r="AC73" s="33">
        <f t="shared" si="20"/>
        <v>548650.9742484842</v>
      </c>
      <c r="AD73" s="10" t="s">
        <v>4</v>
      </c>
      <c r="AG73" s="434"/>
      <c r="AH73" s="434"/>
      <c r="AI73" s="434"/>
      <c r="AK73" s="278">
        <f>AN72-AM73</f>
        <v>7084402.202204515</v>
      </c>
      <c r="AL73" s="10" t="s">
        <v>4</v>
      </c>
      <c r="AM73" s="292">
        <f>-SUM(AN73:AR73)</f>
        <v>-5712265.876023807</v>
      </c>
      <c r="AN73" s="123">
        <f t="shared" si="21"/>
        <v>1120553.5966014753</v>
      </c>
      <c r="AO73" s="123">
        <f t="shared" si="21"/>
        <v>1127372.124784704</v>
      </c>
      <c r="AP73" s="124">
        <f t="shared" si="21"/>
        <v>1140658.9199745385</v>
      </c>
      <c r="AQ73" s="125">
        <f t="shared" si="21"/>
        <v>1156850.3376898502</v>
      </c>
      <c r="AR73" s="124">
        <f t="shared" si="21"/>
        <v>1166830.8969732383</v>
      </c>
      <c r="AS73" s="10" t="s">
        <v>4</v>
      </c>
      <c r="AT73" s="413">
        <f>AN73*AO73*AP73*AQ73*AR73</f>
        <v>1.9450950353595384E+30</v>
      </c>
    </row>
    <row r="74" spans="1:46" ht="13.5" customHeight="1">
      <c r="A74" s="318"/>
      <c r="B74" s="318"/>
      <c r="C74" s="318"/>
      <c r="I74" s="302"/>
      <c r="J74" s="10" t="s">
        <v>6</v>
      </c>
      <c r="K74" s="284">
        <f>-K24</f>
        <v>78556.99065694593</v>
      </c>
      <c r="V74" s="356">
        <f>Z72-X74</f>
        <v>2847117.3706823722</v>
      </c>
      <c r="W74" s="10" t="s">
        <v>6</v>
      </c>
      <c r="X74" s="284">
        <f>-SUM(Y74:AC74)</f>
        <v>-2286797.333915119</v>
      </c>
      <c r="Y74" s="34">
        <f t="shared" si="20"/>
        <v>449205.47589654283</v>
      </c>
      <c r="Z74" s="34">
        <f t="shared" si="20"/>
        <v>458712.4301558143</v>
      </c>
      <c r="AA74" s="38">
        <f t="shared" si="20"/>
        <v>456339.33590023045</v>
      </c>
      <c r="AB74" s="34">
        <f t="shared" si="20"/>
        <v>456170.05697930243</v>
      </c>
      <c r="AC74" s="38">
        <f t="shared" si="20"/>
        <v>466370.0349832294</v>
      </c>
      <c r="AD74" s="10" t="s">
        <v>6</v>
      </c>
      <c r="AE74" s="437" t="s">
        <v>136</v>
      </c>
      <c r="AG74" s="434"/>
      <c r="AH74" s="434"/>
      <c r="AI74" s="386"/>
      <c r="AJ74" s="441" t="s">
        <v>132</v>
      </c>
      <c r="AK74" s="279">
        <f>AO72-AM74</f>
        <v>6055041.677401302</v>
      </c>
      <c r="AL74" s="10" t="s">
        <v>6</v>
      </c>
      <c r="AM74" s="293">
        <f>-SUM(AN74:AR74)</f>
        <v>-4863393.868903825</v>
      </c>
      <c r="AN74" s="125">
        <f t="shared" si="21"/>
        <v>955337.4603655896</v>
      </c>
      <c r="AO74" s="125">
        <f t="shared" si="21"/>
        <v>975556.1576549254</v>
      </c>
      <c r="AP74" s="130">
        <f t="shared" si="21"/>
        <v>970509.2337838109</v>
      </c>
      <c r="AQ74" s="125">
        <f t="shared" si="21"/>
        <v>970149.2237147216</v>
      </c>
      <c r="AR74" s="130">
        <f t="shared" si="21"/>
        <v>991841.7933847777</v>
      </c>
      <c r="AS74" s="10" t="s">
        <v>6</v>
      </c>
      <c r="AT74" s="414">
        <f>AN74*AO74*AP74*AQ74*AR74</f>
        <v>8.703415126633525E+29</v>
      </c>
    </row>
    <row r="75" spans="1:46" ht="13.5" customHeight="1">
      <c r="A75" s="318"/>
      <c r="B75" s="318"/>
      <c r="C75" s="318"/>
      <c r="J75" s="10" t="s">
        <v>7</v>
      </c>
      <c r="K75" s="285">
        <f>-K25</f>
        <v>65221.785151116885</v>
      </c>
      <c r="V75" s="357">
        <f>AA72-X75</f>
        <v>2571967.2133742543</v>
      </c>
      <c r="W75" s="10" t="s">
        <v>7</v>
      </c>
      <c r="X75" s="285">
        <f>-SUM(Y75:AC75)</f>
        <v>-2072589.3308574294</v>
      </c>
      <c r="Y75" s="43">
        <f t="shared" si="20"/>
        <v>409670.4428261225</v>
      </c>
      <c r="Z75" s="43">
        <f t="shared" si="20"/>
        <v>409725.0767105194</v>
      </c>
      <c r="AA75" s="44">
        <f t="shared" si="20"/>
        <v>416720.3321294798</v>
      </c>
      <c r="AB75" s="34">
        <f t="shared" si="20"/>
        <v>414212.69012201176</v>
      </c>
      <c r="AC75" s="38">
        <f t="shared" si="20"/>
        <v>422260.7890692958</v>
      </c>
      <c r="AD75" s="10" t="s">
        <v>7</v>
      </c>
      <c r="AE75" s="438" t="s">
        <v>150</v>
      </c>
      <c r="AG75" s="434"/>
      <c r="AH75" s="434"/>
      <c r="AI75" s="386"/>
      <c r="AJ75" s="432" t="s">
        <v>156</v>
      </c>
      <c r="AK75" s="280">
        <f>AP72-AM75</f>
        <v>5469872.38048367</v>
      </c>
      <c r="AL75" s="10" t="s">
        <v>7</v>
      </c>
      <c r="AM75" s="294">
        <f>-SUM(AN75:AR75)</f>
        <v>-4407831.903140413</v>
      </c>
      <c r="AN75" s="133">
        <f t="shared" si="21"/>
        <v>871257.2340202108</v>
      </c>
      <c r="AO75" s="133">
        <f t="shared" si="21"/>
        <v>871373.4253828949</v>
      </c>
      <c r="AP75" s="134">
        <f t="shared" si="21"/>
        <v>886250.424674189</v>
      </c>
      <c r="AQ75" s="125">
        <f t="shared" si="21"/>
        <v>880917.3544525064</v>
      </c>
      <c r="AR75" s="130">
        <f t="shared" si="21"/>
        <v>898033.4646106116</v>
      </c>
      <c r="AS75" s="10" t="s">
        <v>7</v>
      </c>
      <c r="AT75" s="415">
        <f>AN75*AO75*AP75*AQ75*AR75</f>
        <v>5.322735074578615E+29</v>
      </c>
    </row>
    <row r="76" spans="1:46" ht="13.5" customHeight="1">
      <c r="A76" s="318"/>
      <c r="B76" s="318"/>
      <c r="C76" s="318"/>
      <c r="J76" s="10" t="s">
        <v>0</v>
      </c>
      <c r="K76" s="35"/>
      <c r="V76" s="305">
        <f>AB72+AB76-X76</f>
        <v>82288.42858755769</v>
      </c>
      <c r="W76" s="10" t="s">
        <v>0</v>
      </c>
      <c r="X76" s="255">
        <f>-SUM(Y76:AA76)-AC76</f>
        <v>-76637.01200646965</v>
      </c>
      <c r="Y76" s="34">
        <f t="shared" si="20"/>
        <v>16244.03431775331</v>
      </c>
      <c r="Z76" s="34">
        <f t="shared" si="20"/>
        <v>13539.949874974853</v>
      </c>
      <c r="AA76" s="34">
        <f t="shared" si="20"/>
        <v>14339.135462821268</v>
      </c>
      <c r="AB76" s="76">
        <f t="shared" si="20"/>
        <v>-471999.44810597575</v>
      </c>
      <c r="AC76" s="81">
        <f t="shared" si="20"/>
        <v>32513.89235092023</v>
      </c>
      <c r="AD76" s="10" t="s">
        <v>0</v>
      </c>
      <c r="AE76" s="437" t="s">
        <v>137</v>
      </c>
      <c r="AG76" s="428"/>
      <c r="AH76" s="428"/>
      <c r="AI76" s="386"/>
      <c r="AJ76" s="441" t="s">
        <v>133</v>
      </c>
      <c r="AK76" s="305">
        <f>AQ72+AQ76-AM76</f>
        <v>175005.03133318445</v>
      </c>
      <c r="AL76" s="10" t="s">
        <v>0</v>
      </c>
      <c r="AM76" s="255">
        <f>-SUM(AN76:AP76)-AR76</f>
        <v>-162986.01052033924</v>
      </c>
      <c r="AN76" s="125">
        <f t="shared" si="21"/>
        <v>34546.628044196026</v>
      </c>
      <c r="AO76" s="125">
        <f t="shared" si="21"/>
        <v>28795.77837117682</v>
      </c>
      <c r="AP76" s="125">
        <f t="shared" si="21"/>
        <v>30495.428021106323</v>
      </c>
      <c r="AQ76" s="125">
        <f t="shared" si="21"/>
        <v>-1003814.01884641</v>
      </c>
      <c r="AR76" s="130">
        <f t="shared" si="21"/>
        <v>69148.17608386006</v>
      </c>
      <c r="AS76" s="10" t="s">
        <v>0</v>
      </c>
      <c r="AT76" s="416">
        <f>AN76*AO76*AP76*AR76</f>
        <v>2.0977317377843284E+18</v>
      </c>
    </row>
    <row r="77" spans="1:46" ht="13.5" customHeight="1" thickBot="1">
      <c r="A77" s="318"/>
      <c r="B77" s="318"/>
      <c r="C77" s="318"/>
      <c r="J77" s="10" t="s">
        <v>1</v>
      </c>
      <c r="K77" s="45"/>
      <c r="N77" s="302"/>
      <c r="O77" s="302"/>
      <c r="P77" s="302"/>
      <c r="V77" s="332">
        <f>AC72+AC77-X77</f>
        <v>35518.11170363816</v>
      </c>
      <c r="W77" s="10" t="s">
        <v>1</v>
      </c>
      <c r="X77" s="256">
        <f>-SUM(Y77:AB77)</f>
        <v>-35539.35574615662</v>
      </c>
      <c r="Y77" s="49">
        <f>Y$64*AN12</f>
        <v>14534.626284107062</v>
      </c>
      <c r="Z77" s="50">
        <f>Z$64*AO12</f>
        <v>8621.317314170983</v>
      </c>
      <c r="AA77" s="50">
        <f>AA$64*AP12</f>
        <v>12383.412147878578</v>
      </c>
      <c r="AB77" s="94"/>
      <c r="AC77" s="257">
        <f>AC$64*AR12</f>
        <v>-85425.33389494976</v>
      </c>
      <c r="AD77" s="10" t="s">
        <v>1</v>
      </c>
      <c r="AE77" s="317"/>
      <c r="AG77" s="434"/>
      <c r="AH77" s="434"/>
      <c r="AI77" s="317"/>
      <c r="AJ77" s="317"/>
      <c r="AK77" s="332">
        <f>AR72+AR77-AM77</f>
        <v>75537.33080437753</v>
      </c>
      <c r="AL77" s="10" t="s">
        <v>1</v>
      </c>
      <c r="AM77" s="256">
        <f>-SUM(AN77:AP77)</f>
        <v>-75582.51108537699</v>
      </c>
      <c r="AN77" s="139">
        <f t="shared" si="21"/>
        <v>30911.18364910532</v>
      </c>
      <c r="AO77" s="140">
        <f t="shared" si="21"/>
        <v>18335.189194850554</v>
      </c>
      <c r="AP77" s="140">
        <f t="shared" si="21"/>
        <v>26336.138241421115</v>
      </c>
      <c r="AQ77" s="140">
        <f t="shared" si="21"/>
        <v>0</v>
      </c>
      <c r="AR77" s="141">
        <f t="shared" si="21"/>
        <v>-181676.37286968325</v>
      </c>
      <c r="AS77" s="10" t="s">
        <v>1</v>
      </c>
      <c r="AT77" s="417">
        <f>AN77*AO77*AP77</f>
        <v>14926332928109.602</v>
      </c>
    </row>
    <row r="78" spans="1:39" ht="13.5" customHeight="1">
      <c r="A78" s="318"/>
      <c r="B78" s="318"/>
      <c r="C78" s="318"/>
      <c r="N78" s="302"/>
      <c r="O78" s="302"/>
      <c r="P78" s="302"/>
      <c r="AG78" s="434"/>
      <c r="AH78" s="434"/>
      <c r="AM78" s="444" t="s">
        <v>172</v>
      </c>
    </row>
    <row r="79" spans="1:39" ht="13.5" customHeight="1">
      <c r="A79" s="318"/>
      <c r="B79" s="318"/>
      <c r="C79" s="318"/>
      <c r="N79" s="302"/>
      <c r="O79" s="302"/>
      <c r="P79" s="302"/>
      <c r="AF79" s="317"/>
      <c r="AG79" s="317"/>
      <c r="AH79" s="317"/>
      <c r="AM79" s="445" t="s">
        <v>159</v>
      </c>
    </row>
    <row r="80" spans="1:16" ht="13.5" customHeight="1">
      <c r="A80" s="318"/>
      <c r="B80" s="318"/>
      <c r="C80" s="318"/>
      <c r="H80"/>
      <c r="N80" s="302"/>
      <c r="O80" s="302"/>
      <c r="P80" s="302"/>
    </row>
    <row r="81" spans="1:16" ht="13.5" customHeight="1">
      <c r="A81" s="318"/>
      <c r="B81" s="318"/>
      <c r="C81" s="318"/>
      <c r="H81"/>
      <c r="N81" s="302"/>
      <c r="O81" s="302"/>
      <c r="P81" s="302"/>
    </row>
    <row r="82" spans="1:45" ht="13.5" customHeight="1" thickBot="1">
      <c r="A82" s="318"/>
      <c r="B82" s="318"/>
      <c r="C82" s="318"/>
      <c r="J82" s="317"/>
      <c r="N82" s="302"/>
      <c r="O82" s="302"/>
      <c r="P82" s="302"/>
      <c r="W82" s="317"/>
      <c r="X82" s="472">
        <f>AM82/AM$64-X70</f>
        <v>178.94724461250007</v>
      </c>
      <c r="Y82" s="3">
        <f>AN82/AN$64-AN5</f>
        <v>-0.04642421664402718</v>
      </c>
      <c r="Z82" s="4">
        <f>AO82/AO$64-AO5</f>
        <v>-0.39878487419264275</v>
      </c>
      <c r="AA82" s="5">
        <f>AP82/AP$64-AP5</f>
        <v>-1.8792233612475684</v>
      </c>
      <c r="AB82" s="4">
        <f>AQ82/AQ$64-AQ5</f>
        <v>-0.036145254054190445</v>
      </c>
      <c r="AC82" s="5">
        <f>AR82/AR$64-AR5</f>
        <v>-3.464561228232924</v>
      </c>
      <c r="AD82" s="317"/>
      <c r="AE82" s="317"/>
      <c r="AH82" s="317"/>
      <c r="AL82" s="317"/>
      <c r="AM82" s="112">
        <f>-SUM(AN82:AR82)</f>
        <v>18860239.194182158</v>
      </c>
      <c r="AN82" s="113">
        <f>-SUM(AN84:AN89)</f>
        <v>-4384832.271408532</v>
      </c>
      <c r="AO82" s="114">
        <f>-SUM(AO84:AO89)</f>
        <v>-4213168.229258546</v>
      </c>
      <c r="AP82" s="115">
        <f>-SUM(AP84:AP89)</f>
        <v>-4116379.905490661</v>
      </c>
      <c r="AQ82" s="114">
        <f>-SUM(AQ84:AQ89)</f>
        <v>-3019977.8516736855</v>
      </c>
      <c r="AR82" s="115">
        <f>-SUM(AR84:AR89)</f>
        <v>-3125880.936350735</v>
      </c>
      <c r="AS82" s="317"/>
    </row>
    <row r="83" spans="1:44" ht="13.5" customHeight="1">
      <c r="A83" s="318"/>
      <c r="B83" s="318"/>
      <c r="C83" s="318"/>
      <c r="H83" s="375"/>
      <c r="I83" s="11"/>
      <c r="J83" s="317"/>
      <c r="N83" s="302"/>
      <c r="O83" s="302"/>
      <c r="P83" s="302"/>
      <c r="V83" s="241" t="s">
        <v>203</v>
      </c>
      <c r="W83" s="132" t="s">
        <v>74</v>
      </c>
      <c r="X83" s="10" t="s">
        <v>3</v>
      </c>
      <c r="Y83" s="10" t="s">
        <v>4</v>
      </c>
      <c r="Z83" s="10">
        <v>2</v>
      </c>
      <c r="AA83" s="10">
        <v>3</v>
      </c>
      <c r="AB83" s="10" t="s">
        <v>0</v>
      </c>
      <c r="AC83" s="10" t="s">
        <v>1</v>
      </c>
      <c r="AD83" s="317"/>
      <c r="AK83" s="59" t="s">
        <v>24</v>
      </c>
      <c r="AL83" s="116" t="s">
        <v>93</v>
      </c>
      <c r="AM83" s="10" t="s">
        <v>3</v>
      </c>
      <c r="AN83" s="10" t="s">
        <v>4</v>
      </c>
      <c r="AO83" s="10">
        <v>2</v>
      </c>
      <c r="AP83" s="10">
        <v>3</v>
      </c>
      <c r="AQ83" s="10" t="s">
        <v>0</v>
      </c>
      <c r="AR83" s="10" t="s">
        <v>1</v>
      </c>
    </row>
    <row r="84" spans="1:45" ht="13.5" customHeight="1">
      <c r="A84" s="318"/>
      <c r="B84" s="318"/>
      <c r="C84" s="318"/>
      <c r="I84" s="460"/>
      <c r="J84" s="10" t="s">
        <v>3</v>
      </c>
      <c r="N84" s="302"/>
      <c r="O84" s="302"/>
      <c r="P84" s="302"/>
      <c r="T84" s="317"/>
      <c r="V84" s="119">
        <f aca="true" t="shared" si="22" ref="V84:V89">AK84/AK$64-AK72</f>
        <v>-380.57195510715246</v>
      </c>
      <c r="W84" s="10" t="s">
        <v>3</v>
      </c>
      <c r="X84" s="272">
        <f aca="true" t="shared" si="23" ref="X84:X89">AM84/AM$64-X72</f>
        <v>309586.72477400117</v>
      </c>
      <c r="Y84" s="18">
        <f aca="true" t="shared" si="24" ref="Y84:AC89">AN84/AN$64-AN7</f>
        <v>-100.42969567890816</v>
      </c>
      <c r="Z84" s="64">
        <f t="shared" si="24"/>
        <v>-843.2064390737924</v>
      </c>
      <c r="AA84" s="19">
        <f t="shared" si="24"/>
        <v>-3214.283541790799</v>
      </c>
      <c r="AB84" s="18">
        <f t="shared" si="24"/>
        <v>-876</v>
      </c>
      <c r="AC84" s="19">
        <f t="shared" si="24"/>
        <v>-8766</v>
      </c>
      <c r="AD84" s="10" t="s">
        <v>3</v>
      </c>
      <c r="AK84" s="119">
        <f>-SUM(AK85:AK89)</f>
        <v>-18860239.19418216</v>
      </c>
      <c r="AL84" s="10" t="s">
        <v>3</v>
      </c>
      <c r="AM84" s="119">
        <f>-AM82-SUM(AM85:AM89)</f>
        <v>-2979391.9742747117</v>
      </c>
      <c r="AN84" s="120">
        <f>Y7*$AT33</f>
        <v>1177779.5802598512</v>
      </c>
      <c r="AO84" s="121">
        <f>Z7*$AT34</f>
        <v>1006115.5381098648</v>
      </c>
      <c r="AP84" s="122">
        <f>AA7*$AT35</f>
        <v>909327.2143419805</v>
      </c>
      <c r="AQ84" s="120">
        <f>AB7*$AT36</f>
        <v>0</v>
      </c>
      <c r="AR84" s="122">
        <f>AC7*$AT37</f>
        <v>0</v>
      </c>
      <c r="AS84" s="10" t="s">
        <v>3</v>
      </c>
    </row>
    <row r="85" spans="1:45" ht="13.5" customHeight="1">
      <c r="A85" s="318"/>
      <c r="B85" s="318"/>
      <c r="C85" s="318"/>
      <c r="I85" s="461"/>
      <c r="J85" s="10" t="s">
        <v>4</v>
      </c>
      <c r="N85" s="302"/>
      <c r="O85" s="302"/>
      <c r="P85" s="302"/>
      <c r="T85" s="317"/>
      <c r="V85" s="278">
        <f t="shared" si="22"/>
        <v>-17724.72064541001</v>
      </c>
      <c r="W85" s="10" t="s">
        <v>4</v>
      </c>
      <c r="X85" s="465">
        <f t="shared" si="23"/>
        <v>-83053.4510204019</v>
      </c>
      <c r="Y85" s="74">
        <f t="shared" si="24"/>
        <v>29.57030432109184</v>
      </c>
      <c r="Z85" s="74">
        <f t="shared" si="24"/>
        <v>229.09163427564818</v>
      </c>
      <c r="AA85" s="75">
        <f t="shared" si="24"/>
        <v>781.309527873098</v>
      </c>
      <c r="AB85" s="76">
        <f t="shared" si="24"/>
        <v>18.04825771119897</v>
      </c>
      <c r="AC85" s="75">
        <f t="shared" si="24"/>
        <v>528.4123080543359</v>
      </c>
      <c r="AD85" s="10" t="s">
        <v>4</v>
      </c>
      <c r="AK85" s="278">
        <f>V8*$AT33</f>
        <v>7066677.481559107</v>
      </c>
      <c r="AL85" s="10" t="s">
        <v>4</v>
      </c>
      <c r="AM85" s="292">
        <f aca="true" t="shared" si="25" ref="AM85:AR89">X8*$AT33</f>
        <v>-5888897.901299256</v>
      </c>
      <c r="AN85" s="123">
        <f t="shared" si="25"/>
        <v>1177779.5802598512</v>
      </c>
      <c r="AO85" s="123">
        <f t="shared" si="25"/>
        <v>1177779.5802598512</v>
      </c>
      <c r="AP85" s="124">
        <f t="shared" si="25"/>
        <v>1177779.5802598512</v>
      </c>
      <c r="AQ85" s="125">
        <f t="shared" si="25"/>
        <v>1177779.5802598512</v>
      </c>
      <c r="AR85" s="124">
        <f t="shared" si="25"/>
        <v>1177779.5802598512</v>
      </c>
      <c r="AS85" s="10" t="s">
        <v>4</v>
      </c>
    </row>
    <row r="86" spans="1:45" ht="13.5" customHeight="1">
      <c r="A86" s="318"/>
      <c r="B86" s="318"/>
      <c r="C86" s="318"/>
      <c r="I86" s="462"/>
      <c r="J86" s="10" t="s">
        <v>6</v>
      </c>
      <c r="V86" s="279">
        <f t="shared" si="22"/>
        <v>-18348.44874211494</v>
      </c>
      <c r="W86" s="10" t="s">
        <v>6</v>
      </c>
      <c r="X86" s="466">
        <f t="shared" si="23"/>
        <v>-78610.84829200571</v>
      </c>
      <c r="Y86" s="76">
        <f t="shared" si="24"/>
        <v>26.238486710896495</v>
      </c>
      <c r="Z86" s="76">
        <f t="shared" si="24"/>
        <v>138.88616961284788</v>
      </c>
      <c r="AA86" s="81">
        <f t="shared" si="24"/>
        <v>749.4356137113828</v>
      </c>
      <c r="AB86" s="76">
        <f t="shared" si="24"/>
        <v>31.015422987929014</v>
      </c>
      <c r="AC86" s="81">
        <f t="shared" si="24"/>
        <v>688.88853548115</v>
      </c>
      <c r="AD86" s="10" t="s">
        <v>6</v>
      </c>
      <c r="AE86" s="388" t="s">
        <v>111</v>
      </c>
      <c r="AK86" s="279">
        <f>V9*$AT34</f>
        <v>6036693.228659188</v>
      </c>
      <c r="AL86" s="10" t="s">
        <v>6</v>
      </c>
      <c r="AM86" s="293">
        <f t="shared" si="25"/>
        <v>-5030577.690549324</v>
      </c>
      <c r="AN86" s="125">
        <f t="shared" si="25"/>
        <v>1006115.5381098648</v>
      </c>
      <c r="AO86" s="125">
        <f t="shared" si="25"/>
        <v>1006115.5381098648</v>
      </c>
      <c r="AP86" s="130">
        <f t="shared" si="25"/>
        <v>1006115.5381098648</v>
      </c>
      <c r="AQ86" s="125">
        <f t="shared" si="25"/>
        <v>1006115.5381098648</v>
      </c>
      <c r="AR86" s="130">
        <f t="shared" si="25"/>
        <v>1006115.5381098648</v>
      </c>
      <c r="AS86" s="10" t="s">
        <v>6</v>
      </c>
    </row>
    <row r="87" spans="1:45" ht="13.5" customHeight="1">
      <c r="A87" s="318"/>
      <c r="B87" s="318"/>
      <c r="C87" s="318"/>
      <c r="I87" s="463"/>
      <c r="J87" s="10" t="s">
        <v>7</v>
      </c>
      <c r="V87" s="280">
        <f t="shared" si="22"/>
        <v>-13909.09443178773</v>
      </c>
      <c r="W87" s="10" t="s">
        <v>7</v>
      </c>
      <c r="X87" s="467">
        <f t="shared" si="23"/>
        <v>-65266.56305806409</v>
      </c>
      <c r="Y87" s="86">
        <f t="shared" si="24"/>
        <v>19.67184889879894</v>
      </c>
      <c r="Z87" s="86">
        <f t="shared" si="24"/>
        <v>172.49225253746226</v>
      </c>
      <c r="AA87" s="87">
        <f t="shared" si="24"/>
        <v>485.71645820920094</v>
      </c>
      <c r="AB87" s="76">
        <f t="shared" si="24"/>
        <v>24.499141385997063</v>
      </c>
      <c r="AC87" s="81">
        <f t="shared" si="24"/>
        <v>545.0661240185436</v>
      </c>
      <c r="AD87" s="10" t="s">
        <v>7</v>
      </c>
      <c r="AE87" s="388" t="s">
        <v>112</v>
      </c>
      <c r="AK87" s="280">
        <f>V10*$AT35</f>
        <v>5455963.286051883</v>
      </c>
      <c r="AL87" s="10" t="s">
        <v>7</v>
      </c>
      <c r="AM87" s="294">
        <f t="shared" si="25"/>
        <v>-4546636.071709903</v>
      </c>
      <c r="AN87" s="133">
        <f t="shared" si="25"/>
        <v>909327.2143419805</v>
      </c>
      <c r="AO87" s="133">
        <f t="shared" si="25"/>
        <v>909327.2143419805</v>
      </c>
      <c r="AP87" s="134">
        <f t="shared" si="25"/>
        <v>909327.2143419805</v>
      </c>
      <c r="AQ87" s="125">
        <f t="shared" si="25"/>
        <v>909327.2143419805</v>
      </c>
      <c r="AR87" s="130">
        <f t="shared" si="25"/>
        <v>909327.2143419805</v>
      </c>
      <c r="AS87" s="10" t="s">
        <v>7</v>
      </c>
    </row>
    <row r="88" spans="1:47" ht="13.5" customHeight="1">
      <c r="A88" s="318"/>
      <c r="B88" s="318"/>
      <c r="C88" s="318"/>
      <c r="G88" s="385" t="s">
        <v>125</v>
      </c>
      <c r="H88" s="317"/>
      <c r="I88" s="365">
        <f>3*I56/Term</f>
        <v>-51187.18154812568</v>
      </c>
      <c r="J88" s="10" t="s">
        <v>0</v>
      </c>
      <c r="V88" s="308">
        <f t="shared" si="22"/>
        <v>44728.41178084901</v>
      </c>
      <c r="W88" s="10" t="s">
        <v>0</v>
      </c>
      <c r="X88" s="255">
        <f t="shared" si="23"/>
        <v>-61122.98726701937</v>
      </c>
      <c r="Y88" s="76">
        <f t="shared" si="24"/>
        <v>19.996288686468034</v>
      </c>
      <c r="Z88" s="76">
        <f t="shared" si="24"/>
        <v>202.01031453369023</v>
      </c>
      <c r="AA88" s="76">
        <f t="shared" si="24"/>
        <v>899.775008659404</v>
      </c>
      <c r="AB88" s="76">
        <f t="shared" si="24"/>
        <v>802.4733231689294</v>
      </c>
      <c r="AC88" s="81">
        <f t="shared" si="24"/>
        <v>197.69847192164434</v>
      </c>
      <c r="AD88" s="10" t="s">
        <v>0</v>
      </c>
      <c r="AE88" s="388" t="s">
        <v>110</v>
      </c>
      <c r="AH88" s="317"/>
      <c r="AK88" s="308">
        <f>V11*$AT36</f>
        <v>219733.44311403352</v>
      </c>
      <c r="AL88" s="10" t="s">
        <v>0</v>
      </c>
      <c r="AM88" s="129">
        <f t="shared" si="25"/>
        <v>-292977.9241520447</v>
      </c>
      <c r="AN88" s="125">
        <f t="shared" si="25"/>
        <v>73244.48103801117</v>
      </c>
      <c r="AO88" s="125">
        <f t="shared" si="25"/>
        <v>73244.48103801117</v>
      </c>
      <c r="AP88" s="125">
        <f t="shared" si="25"/>
        <v>73244.48103801117</v>
      </c>
      <c r="AQ88" s="125">
        <f t="shared" si="25"/>
        <v>-73244.48103801117</v>
      </c>
      <c r="AR88" s="130">
        <f t="shared" si="25"/>
        <v>73244.48103801117</v>
      </c>
      <c r="AS88" s="10" t="s">
        <v>0</v>
      </c>
      <c r="AU88" s="419"/>
    </row>
    <row r="89" spans="1:47" ht="13.5" customHeight="1" thickBot="1">
      <c r="A89" s="318"/>
      <c r="B89" s="318"/>
      <c r="C89" s="318"/>
      <c r="G89" s="387" t="s">
        <v>141</v>
      </c>
      <c r="H89" s="317"/>
      <c r="I89" s="367">
        <f>3*I57/Term</f>
        <v>-6436.75100239542</v>
      </c>
      <c r="J89" s="10" t="s">
        <v>1</v>
      </c>
      <c r="K89" s="302"/>
      <c r="L89" s="302"/>
      <c r="M89" s="302"/>
      <c r="N89" s="302"/>
      <c r="O89" s="302"/>
      <c r="P89" s="302"/>
      <c r="V89" s="331">
        <f t="shared" si="22"/>
        <v>5634.423993568009</v>
      </c>
      <c r="W89" s="10" t="s">
        <v>1</v>
      </c>
      <c r="X89" s="256">
        <f t="shared" si="23"/>
        <v>-21711.822381122598</v>
      </c>
      <c r="Y89" s="93">
        <f t="shared" si="24"/>
        <v>4.999191278297456</v>
      </c>
      <c r="Z89" s="94">
        <f t="shared" si="24"/>
        <v>101.12485298833417</v>
      </c>
      <c r="AA89" s="94">
        <f t="shared" si="24"/>
        <v>299.9261566989586</v>
      </c>
      <c r="AB89" s="94">
        <f t="shared" si="24"/>
        <v>0</v>
      </c>
      <c r="AC89" s="95">
        <f t="shared" si="24"/>
        <v>6809.399121752529</v>
      </c>
      <c r="AD89" s="10" t="s">
        <v>1</v>
      </c>
      <c r="AE89" s="317"/>
      <c r="AH89" s="317"/>
      <c r="AK89" s="331">
        <f>V12*$AT37</f>
        <v>81171.75479794556</v>
      </c>
      <c r="AL89" s="10" t="s">
        <v>1</v>
      </c>
      <c r="AM89" s="138">
        <f t="shared" si="25"/>
        <v>-121757.63219691833</v>
      </c>
      <c r="AN89" s="139">
        <f t="shared" si="25"/>
        <v>40585.87739897278</v>
      </c>
      <c r="AO89" s="140">
        <f t="shared" si="25"/>
        <v>40585.87739897278</v>
      </c>
      <c r="AP89" s="140">
        <f t="shared" si="25"/>
        <v>40585.87739897278</v>
      </c>
      <c r="AQ89" s="140">
        <f t="shared" si="25"/>
        <v>0</v>
      </c>
      <c r="AR89" s="141">
        <f t="shared" si="25"/>
        <v>-40585.87739897278</v>
      </c>
      <c r="AS89" s="10" t="s">
        <v>1</v>
      </c>
      <c r="AU89" s="420"/>
    </row>
    <row r="90" spans="1:47" ht="13.5" customHeight="1">
      <c r="A90" s="318"/>
      <c r="B90" s="318"/>
      <c r="C90" s="318"/>
      <c r="K90" s="302"/>
      <c r="L90" s="302"/>
      <c r="M90" s="302"/>
      <c r="N90" s="302"/>
      <c r="O90" s="302"/>
      <c r="P90" s="302"/>
      <c r="AG90" s="317"/>
      <c r="AH90" s="317"/>
      <c r="AU90" s="427"/>
    </row>
    <row r="91" spans="1:49" ht="13.5" customHeight="1">
      <c r="A91" s="318"/>
      <c r="B91" s="318"/>
      <c r="C91" s="318"/>
      <c r="K91" s="302"/>
      <c r="L91" s="302"/>
      <c r="M91" s="302"/>
      <c r="N91" s="302"/>
      <c r="O91" s="302"/>
      <c r="P91" s="302"/>
      <c r="AF91" s="317"/>
      <c r="AU91" s="425"/>
      <c r="AW91" s="317"/>
    </row>
    <row r="92" spans="1:49" ht="13.5" customHeight="1" thickBot="1">
      <c r="A92" s="318"/>
      <c r="B92" s="318"/>
      <c r="C92" s="318"/>
      <c r="K92" s="302"/>
      <c r="L92" s="302"/>
      <c r="M92" s="302"/>
      <c r="T92" s="317"/>
      <c r="U92" s="317"/>
      <c r="V92" s="249">
        <f>SUM(V85:V89)</f>
        <v>380.57195510434394</v>
      </c>
      <c r="W92" s="132" t="s">
        <v>53</v>
      </c>
      <c r="X92" s="2">
        <f>SUM(X85:X89)</f>
        <v>-309765.67201861367</v>
      </c>
      <c r="Y92" s="3">
        <f>SUM(Y85:Y89)</f>
        <v>100.47611989555277</v>
      </c>
      <c r="Z92" s="4">
        <f>SUM(Z85:Z89)</f>
        <v>843.6052239479827</v>
      </c>
      <c r="AA92" s="5">
        <f>SUM(AA85:AA89)</f>
        <v>3216.1627651520444</v>
      </c>
      <c r="AB92" s="258">
        <f>SUM(AB85:AB87)</f>
        <v>73.56282208512505</v>
      </c>
      <c r="AC92" s="259">
        <f>SUM(AC85:AC88)</f>
        <v>1960.0654394756739</v>
      </c>
      <c r="AE92" s="6" t="s">
        <v>151</v>
      </c>
      <c r="AF92" s="437"/>
      <c r="AG92" s="437"/>
      <c r="AH92" s="437"/>
      <c r="AM92" s="112">
        <f>-SUM(AN92:AR92)</f>
        <v>0</v>
      </c>
      <c r="AN92" s="113"/>
      <c r="AO92" s="114"/>
      <c r="AP92" s="115"/>
      <c r="AQ92" s="114"/>
      <c r="AR92" s="115"/>
      <c r="AU92" s="317"/>
      <c r="AV92" s="317"/>
      <c r="AW92" s="317"/>
    </row>
    <row r="93" spans="1:49" ht="13.5" customHeight="1">
      <c r="A93" s="318"/>
      <c r="B93" s="318"/>
      <c r="C93" s="318"/>
      <c r="K93" s="302"/>
      <c r="L93" s="302"/>
      <c r="M93" s="302"/>
      <c r="T93" s="317"/>
      <c r="U93" s="317"/>
      <c r="V93" s="317"/>
      <c r="W93" s="317"/>
      <c r="X93" s="10" t="s">
        <v>3</v>
      </c>
      <c r="Y93" s="10" t="s">
        <v>4</v>
      </c>
      <c r="Z93" s="10">
        <v>2</v>
      </c>
      <c r="AA93" s="10">
        <v>3</v>
      </c>
      <c r="AB93" s="10" t="s">
        <v>0</v>
      </c>
      <c r="AC93" s="10" t="s">
        <v>1</v>
      </c>
      <c r="AF93" s="438"/>
      <c r="AG93" s="438"/>
      <c r="AH93" s="438"/>
      <c r="AL93" s="401" t="s">
        <v>115</v>
      </c>
      <c r="AM93" s="10" t="s">
        <v>3</v>
      </c>
      <c r="AN93" s="10" t="s">
        <v>4</v>
      </c>
      <c r="AO93" s="10">
        <v>2</v>
      </c>
      <c r="AP93" s="10">
        <v>3</v>
      </c>
      <c r="AQ93" s="10" t="s">
        <v>0</v>
      </c>
      <c r="AR93" s="10" t="s">
        <v>1</v>
      </c>
      <c r="AW93" s="317"/>
    </row>
    <row r="94" spans="1:49" ht="13.5" customHeight="1">
      <c r="A94" s="318"/>
      <c r="B94" s="318"/>
      <c r="C94" s="318"/>
      <c r="K94" s="302"/>
      <c r="L94" s="302"/>
      <c r="M94" s="302"/>
      <c r="T94" s="317"/>
      <c r="U94" s="317"/>
      <c r="AG94" s="437"/>
      <c r="AJ94" s="317"/>
      <c r="AK94" s="119">
        <f>-SUM(AK95:AK99)</f>
        <v>4.440892098500626E-16</v>
      </c>
      <c r="AL94" s="10" t="s">
        <v>3</v>
      </c>
      <c r="AM94" s="119">
        <f>-AM92-SUM(AM95:AM99)</f>
        <v>-4.440892098500626E-16</v>
      </c>
      <c r="AN94" s="120"/>
      <c r="AO94" s="121"/>
      <c r="AP94" s="122"/>
      <c r="AQ94" s="120"/>
      <c r="AR94" s="122"/>
      <c r="AS94" s="10" t="s">
        <v>3</v>
      </c>
      <c r="AW94" s="317"/>
    </row>
    <row r="95" spans="1:49" ht="13.5" customHeight="1">
      <c r="A95" s="318"/>
      <c r="B95" s="318"/>
      <c r="C95" s="318"/>
      <c r="N95" s="302"/>
      <c r="O95" s="302"/>
      <c r="P95" s="302"/>
      <c r="AD95" s="317"/>
      <c r="AE95" s="6" t="s">
        <v>127</v>
      </c>
      <c r="AJ95" s="530" t="s">
        <v>204</v>
      </c>
      <c r="AK95" s="278">
        <f>AN94-AM95</f>
        <v>-4.899084160203367</v>
      </c>
      <c r="AL95" s="10" t="s">
        <v>4</v>
      </c>
      <c r="AM95" s="292">
        <f>-SUM(AN95:AR95)</f>
        <v>4.899084160203367</v>
      </c>
      <c r="AN95" s="123">
        <v>0</v>
      </c>
      <c r="AO95" s="123">
        <f>(AK57-AK56)*(V0-Nu)*(G23+G24)</f>
        <v>-2.88710549124193</v>
      </c>
      <c r="AP95" s="124">
        <f>(AK58-AK56)*(V0-Nu)*(G23+G25)</f>
        <v>-2.011978668961437</v>
      </c>
      <c r="AQ95" s="125"/>
      <c r="AR95" s="124"/>
      <c r="AS95" s="10" t="s">
        <v>4</v>
      </c>
      <c r="AW95" s="317"/>
    </row>
    <row r="96" spans="1:46" ht="13.5" customHeight="1" thickBot="1">
      <c r="A96" s="318"/>
      <c r="B96" s="318"/>
      <c r="C96" s="318"/>
      <c r="N96" s="302"/>
      <c r="O96" s="302"/>
      <c r="P96" s="302"/>
      <c r="W96" s="132" t="s">
        <v>96</v>
      </c>
      <c r="X96" s="145">
        <f>S0/X92</f>
        <v>0.9993117236440965</v>
      </c>
      <c r="Y96" s="147">
        <f>IF(Y92&gt;Y57,Y57/Y92,1)</f>
        <v>0.9995403618889089</v>
      </c>
      <c r="Z96" s="148">
        <f>IF(Z92&gt;Z57,Z57/Z92,1)</f>
        <v>0.9995185052524406</v>
      </c>
      <c r="AA96" s="149">
        <f>IF(AA92&gt;AA57,AA57/AA92,1)</f>
        <v>0.9994150944162549</v>
      </c>
      <c r="AB96" s="148">
        <f>IF(AB92&gt;AB57,AB57/AB92,1)</f>
        <v>0.9995083945284354</v>
      </c>
      <c r="AC96" s="149">
        <f>IF(AC92&gt;AC57,AC57/AC92,1)</f>
        <v>0.998230952607604</v>
      </c>
      <c r="AD96" s="317"/>
      <c r="AE96" s="6" t="s">
        <v>152</v>
      </c>
      <c r="AJ96" s="530" t="s">
        <v>205</v>
      </c>
      <c r="AK96" s="279">
        <f>AO94-AM96</f>
        <v>3.4177362618801865</v>
      </c>
      <c r="AL96" s="10" t="s">
        <v>6</v>
      </c>
      <c r="AM96" s="293">
        <f>-SUM(AN96:AR96)</f>
        <v>-3.4177362618801865</v>
      </c>
      <c r="AN96" s="125">
        <f>-AO95</f>
        <v>2.88710549124193</v>
      </c>
      <c r="AO96" s="125">
        <v>0</v>
      </c>
      <c r="AP96" s="130">
        <f>(AK58-AK57)*(V0-Nu)*(G24+G25)</f>
        <v>0.5306307706382568</v>
      </c>
      <c r="AQ96" s="125"/>
      <c r="AR96" s="130"/>
      <c r="AS96" s="10" t="s">
        <v>6</v>
      </c>
      <c r="AT96" s="317"/>
    </row>
    <row r="97" spans="1:46" ht="13.5" customHeight="1">
      <c r="A97" s="318"/>
      <c r="B97" s="318"/>
      <c r="C97" s="318"/>
      <c r="N97" s="302"/>
      <c r="O97" s="302"/>
      <c r="P97" s="302"/>
      <c r="W97" s="317"/>
      <c r="X97" s="10" t="s">
        <v>3</v>
      </c>
      <c r="Y97" s="10" t="s">
        <v>4</v>
      </c>
      <c r="Z97" s="10">
        <v>2</v>
      </c>
      <c r="AA97" s="10">
        <v>3</v>
      </c>
      <c r="AB97" s="10" t="s">
        <v>0</v>
      </c>
      <c r="AC97" s="10" t="s">
        <v>1</v>
      </c>
      <c r="AD97" s="317"/>
      <c r="AK97" s="280">
        <f>AP94-AM97</f>
        <v>1.4813478983231803</v>
      </c>
      <c r="AL97" s="10" t="s">
        <v>7</v>
      </c>
      <c r="AM97" s="294">
        <f>-SUM(AN97:AR97)</f>
        <v>-1.4813478983231803</v>
      </c>
      <c r="AN97" s="133">
        <f>-AP95</f>
        <v>2.011978668961437</v>
      </c>
      <c r="AO97" s="133">
        <f>-AP96</f>
        <v>-0.5306307706382568</v>
      </c>
      <c r="AP97" s="134">
        <v>0</v>
      </c>
      <c r="AQ97" s="125"/>
      <c r="AR97" s="130"/>
      <c r="AS97" s="10" t="s">
        <v>7</v>
      </c>
      <c r="AT97" s="317"/>
    </row>
    <row r="98" spans="1:46" ht="13.5" customHeight="1">
      <c r="A98" s="318"/>
      <c r="B98" s="318"/>
      <c r="C98" s="318"/>
      <c r="D98" s="319"/>
      <c r="AJ98" s="317"/>
      <c r="AK98" s="308">
        <v>0</v>
      </c>
      <c r="AL98" s="10" t="s">
        <v>0</v>
      </c>
      <c r="AM98" s="129">
        <f>-SUM(AN98:AR98)</f>
        <v>0</v>
      </c>
      <c r="AN98" s="125"/>
      <c r="AO98" s="125"/>
      <c r="AP98" s="125"/>
      <c r="AQ98" s="125"/>
      <c r="AR98" s="130"/>
      <c r="AS98" s="10" t="s">
        <v>0</v>
      </c>
      <c r="AT98" s="317"/>
    </row>
    <row r="99" spans="1:45" ht="13.5" customHeight="1" thickBot="1">
      <c r="A99" s="318"/>
      <c r="B99" s="318"/>
      <c r="C99" s="318"/>
      <c r="D99" s="319"/>
      <c r="AJ99" s="317"/>
      <c r="AK99" s="331">
        <v>0</v>
      </c>
      <c r="AL99" s="10" t="s">
        <v>1</v>
      </c>
      <c r="AM99" s="138">
        <f>-SUM(AN99:AR99)</f>
        <v>0</v>
      </c>
      <c r="AN99" s="139"/>
      <c r="AO99" s="140"/>
      <c r="AP99" s="140"/>
      <c r="AQ99" s="140"/>
      <c r="AR99" s="141"/>
      <c r="AS99" s="10" t="s">
        <v>1</v>
      </c>
    </row>
    <row r="100" spans="1:47" ht="13.5" customHeight="1">
      <c r="A100" s="318"/>
      <c r="B100" s="318"/>
      <c r="C100" s="318"/>
      <c r="AJ100" s="317"/>
      <c r="AK100" s="317"/>
      <c r="AU100" s="125"/>
    </row>
    <row r="101" spans="1:47" ht="13.5" customHeight="1">
      <c r="A101" s="318"/>
      <c r="B101" s="318"/>
      <c r="C101" s="318"/>
      <c r="W101" s="317"/>
      <c r="X101" s="317"/>
      <c r="Y101" s="317"/>
      <c r="Z101" s="317"/>
      <c r="AA101" s="317"/>
      <c r="AB101" s="317"/>
      <c r="AC101" s="317"/>
      <c r="AD101" s="317"/>
      <c r="AE101" s="439" t="s">
        <v>153</v>
      </c>
      <c r="AF101" s="317"/>
      <c r="AG101" s="317"/>
      <c r="AU101" s="372" t="s">
        <v>99</v>
      </c>
    </row>
    <row r="102" spans="1:47" ht="13.5" customHeight="1" thickBot="1">
      <c r="A102" s="318"/>
      <c r="B102" s="318"/>
      <c r="C102" s="318"/>
      <c r="G102"/>
      <c r="J102" s="380"/>
      <c r="K102" s="55">
        <f aca="true" t="shared" si="26" ref="K102:P102">K30+DT*(X102-K$12*K30*3)</f>
        <v>0</v>
      </c>
      <c r="L102" s="56">
        <f t="shared" si="26"/>
        <v>0</v>
      </c>
      <c r="M102" s="57">
        <f t="shared" si="26"/>
        <v>0</v>
      </c>
      <c r="N102" s="58">
        <f t="shared" si="26"/>
        <v>0</v>
      </c>
      <c r="O102" s="57">
        <f t="shared" si="26"/>
        <v>0</v>
      </c>
      <c r="P102" s="58">
        <f t="shared" si="26"/>
        <v>0</v>
      </c>
      <c r="W102" s="317"/>
      <c r="X102" s="397">
        <f>-Y64*Y102-Z64*Z102-AA64*AA102-AB64*AB102-AC64*AC102</f>
        <v>0</v>
      </c>
      <c r="Y102" s="150">
        <f>0</f>
        <v>0</v>
      </c>
      <c r="Z102" s="151">
        <f>0</f>
        <v>0</v>
      </c>
      <c r="AA102" s="152">
        <f>0</f>
        <v>0</v>
      </c>
      <c r="AB102" s="151">
        <f>0</f>
        <v>0</v>
      </c>
      <c r="AC102" s="152">
        <f>0</f>
        <v>0</v>
      </c>
      <c r="AD102" s="317"/>
      <c r="AE102" s="384" t="s">
        <v>154</v>
      </c>
      <c r="AF102" s="317"/>
      <c r="AG102" s="317"/>
      <c r="AL102" s="317"/>
      <c r="AM102" s="112">
        <f>-SUM(AN102:AR102)</f>
        <v>0</v>
      </c>
      <c r="AN102" s="113">
        <f>AN$64*Y102</f>
        <v>0</v>
      </c>
      <c r="AO102" s="114">
        <f>AO$64*Z102</f>
        <v>0</v>
      </c>
      <c r="AP102" s="115">
        <f>AP$64*AA102</f>
        <v>0</v>
      </c>
      <c r="AQ102" s="114">
        <f>AQ$64*AB102</f>
        <v>0</v>
      </c>
      <c r="AR102" s="115">
        <f>AR$64*AC102</f>
        <v>0</v>
      </c>
      <c r="AS102" s="317"/>
      <c r="AU102" s="372" t="s">
        <v>100</v>
      </c>
    </row>
    <row r="103" spans="1:45" ht="13.5" customHeight="1">
      <c r="A103" s="318"/>
      <c r="B103" s="318"/>
      <c r="C103" s="318"/>
      <c r="I103" s="317"/>
      <c r="J103" s="132" t="s">
        <v>80</v>
      </c>
      <c r="K103" s="10" t="s">
        <v>3</v>
      </c>
      <c r="L103" s="10" t="s">
        <v>4</v>
      </c>
      <c r="M103" s="10">
        <v>2</v>
      </c>
      <c r="N103" s="10">
        <v>3</v>
      </c>
      <c r="O103" s="10" t="s">
        <v>0</v>
      </c>
      <c r="P103" s="10" t="s">
        <v>1</v>
      </c>
      <c r="S103" s="317"/>
      <c r="U103" s="385" t="s">
        <v>130</v>
      </c>
      <c r="V103" s="59" t="s">
        <v>25</v>
      </c>
      <c r="W103" s="132" t="s">
        <v>98</v>
      </c>
      <c r="X103" s="10" t="s">
        <v>3</v>
      </c>
      <c r="Y103" s="10" t="s">
        <v>4</v>
      </c>
      <c r="Z103" s="10">
        <v>2</v>
      </c>
      <c r="AA103" s="10">
        <v>3</v>
      </c>
      <c r="AB103" s="10" t="s">
        <v>0</v>
      </c>
      <c r="AC103" s="10" t="s">
        <v>1</v>
      </c>
      <c r="AD103" s="317"/>
      <c r="AE103" s="374"/>
      <c r="AF103" s="317"/>
      <c r="AG103" s="317"/>
      <c r="AJ103" s="317"/>
      <c r="AK103" s="531" t="s">
        <v>206</v>
      </c>
      <c r="AL103" s="401" t="s">
        <v>97</v>
      </c>
      <c r="AM103" s="10" t="s">
        <v>3</v>
      </c>
      <c r="AN103" s="10" t="s">
        <v>4</v>
      </c>
      <c r="AO103" s="10">
        <v>2</v>
      </c>
      <c r="AP103" s="10">
        <v>3</v>
      </c>
      <c r="AQ103" s="10" t="s">
        <v>0</v>
      </c>
      <c r="AR103" s="10" t="s">
        <v>1</v>
      </c>
      <c r="AS103" s="317"/>
    </row>
    <row r="104" spans="1:49" ht="13.5" customHeight="1">
      <c r="A104" s="318"/>
      <c r="B104" s="318"/>
      <c r="C104" s="318"/>
      <c r="F104" s="10" t="s">
        <v>3</v>
      </c>
      <c r="G104" s="244"/>
      <c r="I104" s="410"/>
      <c r="J104" s="10" t="s">
        <v>3</v>
      </c>
      <c r="K104" s="60">
        <f aca="true" t="shared" si="27" ref="K104:P109">K32+DT*(X104-K$12*K32*3)</f>
        <v>103184.15587689757</v>
      </c>
      <c r="L104" s="61">
        <f t="shared" si="27"/>
        <v>-334.7403676734184</v>
      </c>
      <c r="M104" s="62">
        <f t="shared" si="27"/>
        <v>-843.1856715097503</v>
      </c>
      <c r="N104" s="63">
        <f t="shared" si="27"/>
        <v>-1071.422336525532</v>
      </c>
      <c r="O104" s="61">
        <f t="shared" si="27"/>
        <v>-292</v>
      </c>
      <c r="P104" s="63">
        <f t="shared" si="27"/>
        <v>-2922</v>
      </c>
      <c r="Q104" s="10">
        <v>0</v>
      </c>
      <c r="S104" s="317"/>
      <c r="U104" s="442" t="s">
        <v>108</v>
      </c>
      <c r="V104" s="460">
        <f aca="true" t="shared" si="28" ref="V104:V109">AK94+AK104</f>
        <v>4.440892098500626E-16</v>
      </c>
      <c r="W104" s="10" t="s">
        <v>3</v>
      </c>
      <c r="X104" s="524">
        <f>-X102-SUM(X105:X109)</f>
        <v>309552.4676306927</v>
      </c>
      <c r="Y104" s="394">
        <f>-Y54</f>
        <v>-100.42993724159419</v>
      </c>
      <c r="Z104" s="395">
        <f>-Z54</f>
        <v>-843.1990324636381</v>
      </c>
      <c r="AA104" s="396">
        <f>-AA54</f>
        <v>-3214.281613592473</v>
      </c>
      <c r="AB104" s="394">
        <f>-AB54</f>
        <v>-876</v>
      </c>
      <c r="AC104" s="396">
        <f>-AC54</f>
        <v>-8766</v>
      </c>
      <c r="AD104" s="10" t="s">
        <v>3</v>
      </c>
      <c r="AE104" s="440" t="s">
        <v>155</v>
      </c>
      <c r="AF104" s="317"/>
      <c r="AG104" s="317"/>
      <c r="AJ104" s="317"/>
      <c r="AK104" s="119">
        <f>-AM102</f>
        <v>0</v>
      </c>
      <c r="AL104" s="10" t="s">
        <v>3</v>
      </c>
      <c r="AM104" s="119">
        <f aca="true" t="shared" si="29" ref="AM104:AM109">-SUM(AN104:AR104)</f>
        <v>658405.1430294975</v>
      </c>
      <c r="AN104" s="120">
        <f>-AN102-SUM(AN105:AN109)</f>
        <v>-194357.21340547202</v>
      </c>
      <c r="AO104" s="121">
        <f>-AO102-SUM(AO105:AO109)</f>
        <v>-185530.64069749808</v>
      </c>
      <c r="AP104" s="122">
        <f>-AP102-SUM(AP105:AP109)</f>
        <v>-152713.17139098342</v>
      </c>
      <c r="AQ104" s="120">
        <f>-AQ102-SUM(AQ105:AQ109)</f>
        <v>-85263.4802449384</v>
      </c>
      <c r="AR104" s="122">
        <f>-AR102-SUM(AR105:AR109)</f>
        <v>-40540.63729060562</v>
      </c>
      <c r="AS104" s="10" t="s">
        <v>3</v>
      </c>
      <c r="AW104" s="317"/>
    </row>
    <row r="105" spans="1:49" ht="13.5" customHeight="1">
      <c r="A105" s="318"/>
      <c r="B105" s="318"/>
      <c r="C105" s="318"/>
      <c r="F105" s="10" t="s">
        <v>4</v>
      </c>
      <c r="G105" s="243">
        <f>K_1+DT*(V105-V23)</f>
        <v>171062.74958137376</v>
      </c>
      <c r="I105" s="243"/>
      <c r="J105" s="10" t="s">
        <v>4</v>
      </c>
      <c r="K105" s="295">
        <f t="shared" si="27"/>
        <v>-27665.49493427786</v>
      </c>
      <c r="L105" s="70">
        <f t="shared" si="27"/>
        <v>98.51113507204049</v>
      </c>
      <c r="M105" s="70">
        <f t="shared" si="27"/>
        <v>228.97725095744008</v>
      </c>
      <c r="N105" s="71">
        <f t="shared" si="27"/>
        <v>260.2836033061625</v>
      </c>
      <c r="O105" s="72">
        <f t="shared" si="27"/>
        <v>6.013310235749843</v>
      </c>
      <c r="P105" s="71">
        <f t="shared" si="27"/>
        <v>175.83015476131675</v>
      </c>
      <c r="Q105" s="10">
        <v>1</v>
      </c>
      <c r="U105" s="385" t="s">
        <v>129</v>
      </c>
      <c r="V105" s="461">
        <f t="shared" si="28"/>
        <v>-17832.031133520602</v>
      </c>
      <c r="W105" s="10" t="s">
        <v>4</v>
      </c>
      <c r="X105" s="525">
        <f>X$96*X85</f>
        <v>-82996.28729378837</v>
      </c>
      <c r="Y105" s="153">
        <f aca="true" t="shared" si="30" ref="Y105:AC107">Y$96*Y85</f>
        <v>29.556712682269303</v>
      </c>
      <c r="Z105" s="153">
        <f t="shared" si="30"/>
        <v>228.98132785703464</v>
      </c>
      <c r="AA105" s="154">
        <f t="shared" si="30"/>
        <v>780.8525355676118</v>
      </c>
      <c r="AB105" s="155">
        <f t="shared" si="30"/>
        <v>18.03938508895594</v>
      </c>
      <c r="AC105" s="154">
        <f t="shared" si="30"/>
        <v>527.4775216386624</v>
      </c>
      <c r="AD105" s="10" t="s">
        <v>4</v>
      </c>
      <c r="AG105" s="317"/>
      <c r="AJ105" s="530" t="s">
        <v>129</v>
      </c>
      <c r="AK105" s="278">
        <f>AN104-AM105</f>
        <v>-17827.1320493604</v>
      </c>
      <c r="AL105" s="10" t="s">
        <v>4</v>
      </c>
      <c r="AM105" s="292">
        <f t="shared" si="29"/>
        <v>-176530.08135611162</v>
      </c>
      <c r="AN105" s="123">
        <f aca="true" t="shared" si="31" ref="AN105:AR107">AN$64*Y105</f>
        <v>57199.680415341936</v>
      </c>
      <c r="AO105" s="123">
        <f t="shared" si="31"/>
        <v>50383.18455009794</v>
      </c>
      <c r="AP105" s="124">
        <f t="shared" si="31"/>
        <v>37098.94820383945</v>
      </c>
      <c r="AQ105" s="125">
        <f t="shared" si="31"/>
        <v>20918.953639837848</v>
      </c>
      <c r="AR105" s="124">
        <f t="shared" si="31"/>
        <v>10929.31454699447</v>
      </c>
      <c r="AS105" s="10" t="s">
        <v>4</v>
      </c>
      <c r="AV105" s="317"/>
      <c r="AW105" s="317"/>
    </row>
    <row r="106" spans="1:48" ht="13.5" customHeight="1">
      <c r="A106" s="318"/>
      <c r="B106" s="318"/>
      <c r="C106" s="318"/>
      <c r="F106" s="10" t="s">
        <v>6</v>
      </c>
      <c r="G106" s="243">
        <f>K_2+DT*(V106-V24)</f>
        <v>176943.4479412191</v>
      </c>
      <c r="I106" s="243"/>
      <c r="J106" s="10" t="s">
        <v>6</v>
      </c>
      <c r="K106" s="296">
        <f t="shared" si="27"/>
        <v>-26185.619316122233</v>
      </c>
      <c r="L106" s="72">
        <f t="shared" si="27"/>
        <v>87.4138461548712</v>
      </c>
      <c r="M106" s="72">
        <f t="shared" si="27"/>
        <v>138.82108090576546</v>
      </c>
      <c r="N106" s="79">
        <f t="shared" si="27"/>
        <v>249.66495402149584</v>
      </c>
      <c r="O106" s="72">
        <f t="shared" si="27"/>
        <v>10.33344662666017</v>
      </c>
      <c r="P106" s="79">
        <f t="shared" si="27"/>
        <v>229.22149199995212</v>
      </c>
      <c r="Q106" s="10">
        <v>2</v>
      </c>
      <c r="U106" s="385" t="s">
        <v>157</v>
      </c>
      <c r="V106" s="462">
        <f t="shared" si="28"/>
        <v>-18445.213530705543</v>
      </c>
      <c r="W106" s="10" t="s">
        <v>6</v>
      </c>
      <c r="X106" s="526">
        <f>X$96*X86</f>
        <v>-78556.7423038088</v>
      </c>
      <c r="Y106" s="155">
        <f t="shared" si="30"/>
        <v>26.22642650242681</v>
      </c>
      <c r="Z106" s="155">
        <f t="shared" si="30"/>
        <v>138.81929665167064</v>
      </c>
      <c r="AA106" s="156">
        <f t="shared" si="30"/>
        <v>748.9972646362655</v>
      </c>
      <c r="AB106" s="155">
        <f t="shared" si="30"/>
        <v>31.00017563628526</v>
      </c>
      <c r="AC106" s="156">
        <f t="shared" si="30"/>
        <v>687.6698590138055</v>
      </c>
      <c r="AD106" s="10" t="s">
        <v>6</v>
      </c>
      <c r="AG106" s="317"/>
      <c r="AJ106" s="530" t="s">
        <v>157</v>
      </c>
      <c r="AK106" s="279">
        <f>AO104-AM106</f>
        <v>-18448.631266967423</v>
      </c>
      <c r="AL106" s="10" t="s">
        <v>6</v>
      </c>
      <c r="AM106" s="293">
        <f t="shared" si="29"/>
        <v>-167082.00943053066</v>
      </c>
      <c r="AN106" s="125">
        <f t="shared" si="31"/>
        <v>50754.738204536</v>
      </c>
      <c r="AO106" s="125">
        <f t="shared" si="31"/>
        <v>30544.666273761606</v>
      </c>
      <c r="AP106" s="130">
        <f t="shared" si="31"/>
        <v>35585.47799983707</v>
      </c>
      <c r="AQ106" s="125">
        <f t="shared" si="31"/>
        <v>35948.63315819457</v>
      </c>
      <c r="AR106" s="130">
        <f t="shared" si="31"/>
        <v>14248.493794201408</v>
      </c>
      <c r="AS106" s="10" t="s">
        <v>6</v>
      </c>
      <c r="AU106" s="372"/>
      <c r="AV106" s="317"/>
    </row>
    <row r="107" spans="1:48" ht="13.5" customHeight="1">
      <c r="A107" s="318"/>
      <c r="B107" s="318"/>
      <c r="C107" s="318"/>
      <c r="F107" s="10" t="s">
        <v>7</v>
      </c>
      <c r="G107" s="450">
        <f>K_3+DT*(V107-V25)</f>
        <v>134209.70007575504</v>
      </c>
      <c r="I107" s="242"/>
      <c r="J107" s="10" t="s">
        <v>7</v>
      </c>
      <c r="K107" s="297">
        <f t="shared" si="27"/>
        <v>-21740.569931944596</v>
      </c>
      <c r="L107" s="83">
        <f t="shared" si="27"/>
        <v>65.53721297905517</v>
      </c>
      <c r="M107" s="83">
        <f t="shared" si="27"/>
        <v>172.4060158480542</v>
      </c>
      <c r="N107" s="84">
        <f t="shared" si="27"/>
        <v>161.81124274768777</v>
      </c>
      <c r="O107" s="72">
        <f t="shared" si="27"/>
        <v>8.162419553347661</v>
      </c>
      <c r="P107" s="79">
        <f t="shared" si="27"/>
        <v>181.3665222545606</v>
      </c>
      <c r="Q107" s="10">
        <v>3</v>
      </c>
      <c r="V107" s="463">
        <f t="shared" si="28"/>
        <v>-13990.737801685802</v>
      </c>
      <c r="W107" s="10" t="s">
        <v>7</v>
      </c>
      <c r="X107" s="527">
        <f>X$96*X87</f>
        <v>-65221.64162588013</v>
      </c>
      <c r="Y107" s="157">
        <f t="shared" si="30"/>
        <v>19.66280696732943</v>
      </c>
      <c r="Z107" s="157">
        <f t="shared" si="30"/>
        <v>172.40919842387078</v>
      </c>
      <c r="AA107" s="158">
        <f t="shared" si="30"/>
        <v>485.4323599406775</v>
      </c>
      <c r="AB107" s="155">
        <f t="shared" si="30"/>
        <v>24.487097474043072</v>
      </c>
      <c r="AC107" s="156">
        <f t="shared" si="30"/>
        <v>544.1018762131653</v>
      </c>
      <c r="AD107" s="10" t="s">
        <v>7</v>
      </c>
      <c r="AE107" s="388" t="s">
        <v>112</v>
      </c>
      <c r="AF107" s="317"/>
      <c r="AG107" s="317"/>
      <c r="AK107" s="280">
        <f>AP104-AM107</f>
        <v>-13992.219149584125</v>
      </c>
      <c r="AL107" s="10" t="s">
        <v>7</v>
      </c>
      <c r="AM107" s="294">
        <f t="shared" si="29"/>
        <v>-138720.9522413993</v>
      </c>
      <c r="AN107" s="133">
        <f t="shared" si="31"/>
        <v>38052.48190792541</v>
      </c>
      <c r="AO107" s="133">
        <f t="shared" si="31"/>
        <v>37935.51440905173</v>
      </c>
      <c r="AP107" s="134">
        <f t="shared" si="31"/>
        <v>23063.29192465994</v>
      </c>
      <c r="AQ107" s="125">
        <f t="shared" si="31"/>
        <v>28395.893446905986</v>
      </c>
      <c r="AR107" s="130">
        <f t="shared" si="31"/>
        <v>11273.770552856218</v>
      </c>
      <c r="AS107" s="10" t="s">
        <v>7</v>
      </c>
      <c r="AU107" s="372"/>
      <c r="AV107" s="317"/>
    </row>
    <row r="108" spans="1:49" ht="13.5" customHeight="1">
      <c r="A108" s="318"/>
      <c r="B108" s="318"/>
      <c r="C108" s="318"/>
      <c r="F108" s="10" t="s">
        <v>0</v>
      </c>
      <c r="G108" s="247"/>
      <c r="I108" s="243">
        <f>I36+DT*(I88-3*I36/Term+V108-V26)</f>
        <v>-107924.81684878946</v>
      </c>
      <c r="J108" s="10" t="s">
        <v>0</v>
      </c>
      <c r="K108" s="77">
        <f t="shared" si="27"/>
        <v>-20360.24516631788</v>
      </c>
      <c r="L108" s="72">
        <f t="shared" si="27"/>
        <v>66.62070177530615</v>
      </c>
      <c r="M108" s="72">
        <f t="shared" si="27"/>
        <v>201.90896147892076</v>
      </c>
      <c r="N108" s="72">
        <f t="shared" si="27"/>
        <v>299.74656598540463</v>
      </c>
      <c r="O108" s="72">
        <f t="shared" si="27"/>
        <v>267.4908235842423</v>
      </c>
      <c r="P108" s="79">
        <f t="shared" si="27"/>
        <v>65.78948012731279</v>
      </c>
      <c r="Q108" s="10" t="s">
        <v>0</v>
      </c>
      <c r="T108" s="317"/>
      <c r="U108" s="385" t="s">
        <v>109</v>
      </c>
      <c r="V108" s="365">
        <f t="shared" si="28"/>
        <v>44656.99384443679</v>
      </c>
      <c r="W108" s="10" t="s">
        <v>0</v>
      </c>
      <c r="X108" s="528">
        <f>X$96*X88</f>
        <v>-61080.91776008129</v>
      </c>
      <c r="Y108" s="155">
        <f aca="true" t="shared" si="32" ref="Y108:AA109">Y$96*Y88</f>
        <v>19.987097630107353</v>
      </c>
      <c r="Z108" s="155">
        <f t="shared" si="32"/>
        <v>201.91304762828943</v>
      </c>
      <c r="AA108" s="155">
        <f t="shared" si="32"/>
        <v>899.2487252327247</v>
      </c>
      <c r="AB108" s="161">
        <f>-AB102-SUM(AB104:AB107)-AB109</f>
        <v>802.4733418007158</v>
      </c>
      <c r="AC108" s="156">
        <f>AC$96*AC88</f>
        <v>197.34873395541067</v>
      </c>
      <c r="AD108" s="10" t="s">
        <v>0</v>
      </c>
      <c r="AE108" s="388" t="s">
        <v>110</v>
      </c>
      <c r="AF108" s="317"/>
      <c r="AG108" s="317"/>
      <c r="AJ108" s="317"/>
      <c r="AK108" s="308">
        <f>AQ104-AM108</f>
        <v>44656.99384443679</v>
      </c>
      <c r="AL108" s="10" t="s">
        <v>0</v>
      </c>
      <c r="AM108" s="129">
        <f t="shared" si="29"/>
        <v>-129920.47408937519</v>
      </c>
      <c r="AN108" s="125">
        <f aca="true" t="shared" si="33" ref="AN108:AP109">AN$64*Y108</f>
        <v>38680.06598576178</v>
      </c>
      <c r="AO108" s="125">
        <f t="shared" si="33"/>
        <v>44427.30084996444</v>
      </c>
      <c r="AP108" s="125">
        <f t="shared" si="33"/>
        <v>42724.04885709545</v>
      </c>
      <c r="AQ108" s="276">
        <v>0</v>
      </c>
      <c r="AR108" s="130">
        <f>AR$64*AC108</f>
        <v>4089.058396553515</v>
      </c>
      <c r="AS108" s="10" t="s">
        <v>0</v>
      </c>
      <c r="AV108" s="317"/>
      <c r="AW108" s="317"/>
    </row>
    <row r="109" spans="1:49" ht="13.5" customHeight="1" thickBot="1">
      <c r="A109" s="318"/>
      <c r="B109" s="318"/>
      <c r="C109" s="318"/>
      <c r="E109" s="319"/>
      <c r="F109" s="10" t="s">
        <v>1</v>
      </c>
      <c r="G109" s="248"/>
      <c r="I109" s="371">
        <f>I37+DT*(I89-3*I37/Term+V109-V27)</f>
        <v>-13583.07644844518</v>
      </c>
      <c r="J109" s="10" t="s">
        <v>1</v>
      </c>
      <c r="K109" s="89">
        <f t="shared" si="27"/>
        <v>-7232.226528235009</v>
      </c>
      <c r="L109" s="90">
        <f t="shared" si="27"/>
        <v>16.6574716921454</v>
      </c>
      <c r="M109" s="91">
        <f t="shared" si="27"/>
        <v>101.07236231956978</v>
      </c>
      <c r="N109" s="91">
        <f t="shared" si="27"/>
        <v>99.91597046478088</v>
      </c>
      <c r="O109" s="91">
        <f t="shared" si="27"/>
        <v>0</v>
      </c>
      <c r="P109" s="92">
        <f t="shared" si="27"/>
        <v>2269.7923508568583</v>
      </c>
      <c r="Q109" s="10" t="s">
        <v>1</v>
      </c>
      <c r="T109" s="317"/>
      <c r="U109" s="443" t="s">
        <v>131</v>
      </c>
      <c r="V109" s="367">
        <f t="shared" si="28"/>
        <v>5610.988621475117</v>
      </c>
      <c r="W109" s="10" t="s">
        <v>1</v>
      </c>
      <c r="X109" s="529">
        <f>X$96*X89</f>
        <v>-21696.878647134094</v>
      </c>
      <c r="Y109" s="159">
        <f t="shared" si="32"/>
        <v>4.996893459461316</v>
      </c>
      <c r="Z109" s="160">
        <f t="shared" si="32"/>
        <v>101.07616190277257</v>
      </c>
      <c r="AA109" s="160">
        <f t="shared" si="32"/>
        <v>299.75072821519416</v>
      </c>
      <c r="AB109" s="160">
        <f>AB$96*AB89</f>
        <v>0</v>
      </c>
      <c r="AC109" s="238">
        <f>-AC102-SUM(AC104:AC108)</f>
        <v>6809.402009178956</v>
      </c>
      <c r="AD109" s="10" t="s">
        <v>1</v>
      </c>
      <c r="AF109" s="317"/>
      <c r="AG109" s="317"/>
      <c r="AJ109" s="317"/>
      <c r="AK109" s="331">
        <f>AR104-AM109</f>
        <v>5610.988621475117</v>
      </c>
      <c r="AL109" s="10" t="s">
        <v>1</v>
      </c>
      <c r="AM109" s="138">
        <f t="shared" si="29"/>
        <v>-46151.62591208074</v>
      </c>
      <c r="AN109" s="139">
        <f t="shared" si="33"/>
        <v>9670.246891906889</v>
      </c>
      <c r="AO109" s="140">
        <f t="shared" si="33"/>
        <v>22239.974614622355</v>
      </c>
      <c r="AP109" s="140">
        <f t="shared" si="33"/>
        <v>14241.404405551497</v>
      </c>
      <c r="AQ109" s="140">
        <f>AQ$64*AB109</f>
        <v>0</v>
      </c>
      <c r="AR109" s="303">
        <v>0</v>
      </c>
      <c r="AS109" s="10" t="s">
        <v>1</v>
      </c>
      <c r="AW109" s="317"/>
    </row>
    <row r="110" spans="1:49" ht="13.5" customHeight="1">
      <c r="A110" s="318"/>
      <c r="B110" s="318"/>
      <c r="C110" s="318"/>
      <c r="I110" s="317"/>
      <c r="J110" s="380"/>
      <c r="K110" s="317"/>
      <c r="L110" s="317"/>
      <c r="M110" s="317"/>
      <c r="N110" s="317"/>
      <c r="O110" s="317"/>
      <c r="P110" s="317"/>
      <c r="Q110" s="317"/>
      <c r="AF110" s="317"/>
      <c r="AG110" s="317"/>
      <c r="AH110" s="317"/>
      <c r="AW110" s="317"/>
    </row>
    <row r="111" spans="1:49" ht="13.5" customHeight="1">
      <c r="A111" s="318"/>
      <c r="B111" s="318"/>
      <c r="C111" s="318"/>
      <c r="I111" s="317"/>
      <c r="J111" s="380"/>
      <c r="K111" s="317"/>
      <c r="L111" s="317"/>
      <c r="M111" s="317"/>
      <c r="N111" s="317"/>
      <c r="O111" s="317"/>
      <c r="P111" s="317"/>
      <c r="Q111" s="317"/>
      <c r="AF111" s="317"/>
      <c r="AG111" s="317"/>
      <c r="AH111" s="317"/>
      <c r="AI111" s="317"/>
      <c r="AJ111" s="317"/>
      <c r="AU111" s="425"/>
      <c r="AW111" s="317"/>
    </row>
    <row r="112" spans="1:49" ht="13.5" customHeight="1" thickBot="1">
      <c r="A112" s="318"/>
      <c r="B112" s="318"/>
      <c r="C112" s="318"/>
      <c r="J112" s="380"/>
      <c r="K112" s="55">
        <f aca="true" t="shared" si="34" ref="K112:P112">K40+DT*K$12*3*(K30-K40)</f>
        <v>0</v>
      </c>
      <c r="L112" s="56">
        <f t="shared" si="34"/>
        <v>0</v>
      </c>
      <c r="M112" s="57">
        <f t="shared" si="34"/>
        <v>0</v>
      </c>
      <c r="N112" s="58">
        <f t="shared" si="34"/>
        <v>0</v>
      </c>
      <c r="O112" s="57">
        <f t="shared" si="34"/>
        <v>0</v>
      </c>
      <c r="P112" s="58">
        <f t="shared" si="34"/>
        <v>0</v>
      </c>
      <c r="Q112" s="317"/>
      <c r="V112" s="499">
        <f>GPE!D12</f>
        <v>0</v>
      </c>
      <c r="W112" s="498"/>
      <c r="X112" s="497">
        <f>GPE!F12</f>
        <v>0</v>
      </c>
      <c r="Y112" s="499">
        <f>GPE!G12</f>
        <v>0</v>
      </c>
      <c r="Z112" s="499">
        <f>GPE!H12</f>
        <v>0</v>
      </c>
      <c r="AA112" s="499">
        <f>GPE!I12</f>
        <v>0</v>
      </c>
      <c r="AB112" s="499">
        <f>GPE!J12</f>
        <v>0</v>
      </c>
      <c r="AC112" s="499">
        <f>GPE!K12</f>
        <v>0</v>
      </c>
      <c r="AU112" s="425"/>
      <c r="AW112" s="317"/>
    </row>
    <row r="113" spans="1:49" ht="13.5" customHeight="1">
      <c r="A113" s="318"/>
      <c r="B113" s="318"/>
      <c r="C113" s="318"/>
      <c r="G113" s="319"/>
      <c r="H113" s="319"/>
      <c r="I113" s="317"/>
      <c r="J113" s="132" t="s">
        <v>81</v>
      </c>
      <c r="K113" s="10" t="s">
        <v>3</v>
      </c>
      <c r="L113" s="10" t="s">
        <v>4</v>
      </c>
      <c r="M113" s="10">
        <v>2</v>
      </c>
      <c r="N113" s="10">
        <v>3</v>
      </c>
      <c r="O113" s="10" t="s">
        <v>0</v>
      </c>
      <c r="P113" s="10" t="s">
        <v>1</v>
      </c>
      <c r="Q113" s="317"/>
      <c r="V113" s="404" t="s">
        <v>25</v>
      </c>
      <c r="W113" s="392" t="s">
        <v>98</v>
      </c>
      <c r="X113" s="500" t="s">
        <v>3</v>
      </c>
      <c r="Y113" s="500" t="s">
        <v>4</v>
      </c>
      <c r="Z113" s="500">
        <v>2</v>
      </c>
      <c r="AA113" s="500">
        <v>3</v>
      </c>
      <c r="AB113" s="500" t="s">
        <v>0</v>
      </c>
      <c r="AC113" s="500" t="s">
        <v>1</v>
      </c>
      <c r="AF113" s="317"/>
      <c r="AG113" s="317"/>
      <c r="AH113" s="317"/>
      <c r="AI113" s="317"/>
      <c r="AJ113" s="317"/>
      <c r="AU113" s="426"/>
      <c r="AW113" s="317"/>
    </row>
    <row r="114" spans="1:49" ht="13.5" customHeight="1">
      <c r="A114" s="318"/>
      <c r="B114" s="318"/>
      <c r="C114" s="318"/>
      <c r="I114" s="410"/>
      <c r="J114" s="10" t="s">
        <v>3</v>
      </c>
      <c r="K114" s="60">
        <f aca="true" t="shared" si="35" ref="K114:P119">K42+DT*K$12*3*(K32-K42)</f>
        <v>103184.15587689757</v>
      </c>
      <c r="L114" s="61">
        <f t="shared" si="35"/>
        <v>-334.6915559299038</v>
      </c>
      <c r="M114" s="62">
        <f t="shared" si="35"/>
        <v>-843.1701084224073</v>
      </c>
      <c r="N114" s="63">
        <f t="shared" si="35"/>
        <v>-1071.4170883958386</v>
      </c>
      <c r="O114" s="61">
        <f t="shared" si="35"/>
        <v>-292</v>
      </c>
      <c r="P114" s="63">
        <f t="shared" si="35"/>
        <v>-2922</v>
      </c>
      <c r="Q114" s="10">
        <v>0</v>
      </c>
      <c r="R114" s="302"/>
      <c r="V114" s="497">
        <f>GPE!D14</f>
        <v>0</v>
      </c>
      <c r="W114" s="500" t="s">
        <v>3</v>
      </c>
      <c r="X114" s="496">
        <f>GPE!F14</f>
        <v>309552.4676306927</v>
      </c>
      <c r="Y114" s="497">
        <f>GPE!G14</f>
        <v>-100</v>
      </c>
      <c r="Z114" s="497">
        <f>GPE!H14</f>
        <v>-750</v>
      </c>
      <c r="AA114" s="497">
        <f>GPE!I14</f>
        <v>-3200</v>
      </c>
      <c r="AB114" s="497">
        <f>GPE!J14</f>
        <v>-876</v>
      </c>
      <c r="AC114" s="497">
        <f>GPE!K14</f>
        <v>-8766</v>
      </c>
      <c r="AF114" s="317"/>
      <c r="AG114" s="317"/>
      <c r="AH114" s="317"/>
      <c r="AU114" s="426"/>
      <c r="AW114" s="317"/>
    </row>
    <row r="115" spans="1:49" ht="13.5" customHeight="1">
      <c r="A115" s="318"/>
      <c r="B115" s="318"/>
      <c r="C115" s="318"/>
      <c r="D115" s="319"/>
      <c r="I115" s="243"/>
      <c r="J115" s="10" t="s">
        <v>4</v>
      </c>
      <c r="K115" s="295">
        <f t="shared" si="35"/>
        <v>-27665.565825535414</v>
      </c>
      <c r="L115" s="70">
        <f t="shared" si="35"/>
        <v>98.48953793558289</v>
      </c>
      <c r="M115" s="70">
        <f t="shared" si="35"/>
        <v>228.97248836288557</v>
      </c>
      <c r="N115" s="71">
        <f t="shared" si="35"/>
        <v>260.2829830358406</v>
      </c>
      <c r="O115" s="72">
        <f t="shared" si="35"/>
        <v>6.013506227069568</v>
      </c>
      <c r="P115" s="71">
        <f t="shared" si="35"/>
        <v>175.83480655648765</v>
      </c>
      <c r="Q115" s="10">
        <v>1</v>
      </c>
      <c r="R115" s="302"/>
      <c r="V115" s="499">
        <f>GPE!D15</f>
        <v>-16991.26862202934</v>
      </c>
      <c r="W115" s="500" t="s">
        <v>4</v>
      </c>
      <c r="X115" s="497">
        <f>GPE!F15</f>
        <v>-84956.36248045962</v>
      </c>
      <c r="Y115" s="499">
        <f>GPE!G15</f>
        <v>30</v>
      </c>
      <c r="Z115" s="499">
        <f>GPE!H15</f>
        <v>200</v>
      </c>
      <c r="AA115" s="499">
        <f>GPE!I15</f>
        <v>800</v>
      </c>
      <c r="AB115" s="499">
        <f>GPE!J15</f>
        <v>20</v>
      </c>
      <c r="AC115" s="499">
        <f>GPE!K15</f>
        <v>600</v>
      </c>
      <c r="AG115" s="317"/>
      <c r="AH115" s="317"/>
      <c r="AW115" s="317"/>
    </row>
    <row r="116" spans="1:49" ht="13.5" customHeight="1">
      <c r="A116" s="318"/>
      <c r="B116" s="318"/>
      <c r="C116" s="318"/>
      <c r="D116" s="319"/>
      <c r="I116" s="243"/>
      <c r="J116" s="10" t="s">
        <v>6</v>
      </c>
      <c r="K116" s="296">
        <f t="shared" si="35"/>
        <v>-26185.661406365878</v>
      </c>
      <c r="L116" s="72">
        <f t="shared" si="35"/>
        <v>87.4003666204309</v>
      </c>
      <c r="M116" s="72">
        <f t="shared" si="35"/>
        <v>138.8232415012326</v>
      </c>
      <c r="N116" s="79">
        <f t="shared" si="35"/>
        <v>249.66409584357908</v>
      </c>
      <c r="O116" s="72">
        <f t="shared" si="35"/>
        <v>10.33350579832257</v>
      </c>
      <c r="P116" s="79">
        <f t="shared" si="35"/>
        <v>229.21957159539625</v>
      </c>
      <c r="Q116" s="10">
        <v>2</v>
      </c>
      <c r="V116" s="499">
        <f>GPE!D16</f>
        <v>-14578.352228175587</v>
      </c>
      <c r="W116" s="500" t="s">
        <v>6</v>
      </c>
      <c r="X116" s="497">
        <f>GPE!F16</f>
        <v>-72891.77801820959</v>
      </c>
      <c r="Y116" s="499">
        <f>GPE!G16</f>
        <v>25</v>
      </c>
      <c r="Z116" s="499">
        <f>GPE!H16</f>
        <v>100</v>
      </c>
      <c r="AA116" s="499">
        <f>GPE!I16</f>
        <v>700</v>
      </c>
      <c r="AB116" s="499">
        <f>GPE!J16</f>
        <v>30</v>
      </c>
      <c r="AC116" s="499">
        <f>GPE!K16</f>
        <v>600</v>
      </c>
      <c r="AG116" s="317"/>
      <c r="AH116" s="317"/>
      <c r="AW116" s="317"/>
    </row>
    <row r="117" spans="1:34" ht="13.5" customHeight="1">
      <c r="A117" s="318"/>
      <c r="B117" s="318"/>
      <c r="C117" s="318"/>
      <c r="D117" s="319"/>
      <c r="I117" s="242"/>
      <c r="J117" s="10" t="s">
        <v>7</v>
      </c>
      <c r="K117" s="297">
        <f t="shared" si="35"/>
        <v>-21740.594083869568</v>
      </c>
      <c r="L117" s="83">
        <f t="shared" si="35"/>
        <v>65.526788479204</v>
      </c>
      <c r="M117" s="83">
        <f t="shared" si="35"/>
        <v>172.4022731265171</v>
      </c>
      <c r="N117" s="84">
        <f t="shared" si="35"/>
        <v>161.81173221184054</v>
      </c>
      <c r="O117" s="72">
        <f t="shared" si="35"/>
        <v>8.162477305507739</v>
      </c>
      <c r="P117" s="79">
        <f t="shared" si="35"/>
        <v>181.36568769933487</v>
      </c>
      <c r="Q117" s="10">
        <v>3</v>
      </c>
      <c r="V117" s="499">
        <f>GPE!D17</f>
        <v>-13347.81036760137</v>
      </c>
      <c r="W117" s="500" t="s">
        <v>7</v>
      </c>
      <c r="X117" s="497">
        <f>GPE!F17</f>
        <v>-66739.07769986232</v>
      </c>
      <c r="Y117" s="499">
        <f>GPE!G17</f>
        <v>20</v>
      </c>
      <c r="Z117" s="499">
        <f>GPE!H17</f>
        <v>150</v>
      </c>
      <c r="AA117" s="499">
        <f>GPE!I17</f>
        <v>500</v>
      </c>
      <c r="AB117" s="499">
        <f>GPE!J17</f>
        <v>26</v>
      </c>
      <c r="AC117" s="499">
        <f>GPE!K17</f>
        <v>600</v>
      </c>
      <c r="AG117" s="317"/>
      <c r="AH117" s="317"/>
    </row>
    <row r="118" spans="1:49" ht="13.5" customHeight="1">
      <c r="A118" s="318"/>
      <c r="B118" s="318"/>
      <c r="C118" s="318"/>
      <c r="D118" s="319"/>
      <c r="F118" s="430" t="s">
        <v>140</v>
      </c>
      <c r="I118" s="243">
        <f>I46+DT*3*(I36-I46)/Term</f>
        <v>-107907.65576790468</v>
      </c>
      <c r="J118" s="10" t="s">
        <v>0</v>
      </c>
      <c r="K118" s="77">
        <f t="shared" si="35"/>
        <v>-20360.179742216435</v>
      </c>
      <c r="L118" s="72">
        <f t="shared" si="35"/>
        <v>66.6151355752467</v>
      </c>
      <c r="M118" s="72">
        <f t="shared" si="35"/>
        <v>201.90420455825074</v>
      </c>
      <c r="N118" s="72">
        <f t="shared" si="35"/>
        <v>299.743321789375</v>
      </c>
      <c r="O118" s="72">
        <f t="shared" si="35"/>
        <v>267.49051066910005</v>
      </c>
      <c r="P118" s="79">
        <f t="shared" si="35"/>
        <v>65.7965664291465</v>
      </c>
      <c r="Q118" s="10" t="s">
        <v>0</v>
      </c>
      <c r="V118" s="499">
        <f>GPE!D18</f>
        <v>40425.7094793594</v>
      </c>
      <c r="W118" s="500" t="s">
        <v>0</v>
      </c>
      <c r="X118" s="497">
        <f>GPE!F18</f>
        <v>-62719.38856293771</v>
      </c>
      <c r="Y118" s="499">
        <f>GPE!G18</f>
        <v>20</v>
      </c>
      <c r="Z118" s="499">
        <f>GPE!H18</f>
        <v>200</v>
      </c>
      <c r="AA118" s="499">
        <f>GPE!I18</f>
        <v>900</v>
      </c>
      <c r="AB118" s="499">
        <f>GPE!J18</f>
        <v>800</v>
      </c>
      <c r="AC118" s="499">
        <f>GPE!K18</f>
        <v>200</v>
      </c>
      <c r="AG118" s="317"/>
      <c r="AH118" s="317"/>
      <c r="AU118" s="59"/>
      <c r="AW118" s="317"/>
    </row>
    <row r="119" spans="1:49" ht="13.5" customHeight="1" thickBot="1">
      <c r="A119" s="318"/>
      <c r="B119" s="318"/>
      <c r="C119" s="318"/>
      <c r="D119" s="319"/>
      <c r="E119" s="319"/>
      <c r="F119" s="402" t="s">
        <v>116</v>
      </c>
      <c r="I119" s="371">
        <f>I47+DT*3*(I37-I47)/Term</f>
        <v>-13576.147353129483</v>
      </c>
      <c r="J119" s="10" t="s">
        <v>1</v>
      </c>
      <c r="K119" s="89">
        <f t="shared" si="35"/>
        <v>-7232.1548189102805</v>
      </c>
      <c r="L119" s="90">
        <f t="shared" si="35"/>
        <v>16.659727319439778</v>
      </c>
      <c r="M119" s="91">
        <f t="shared" si="35"/>
        <v>101.06790087352192</v>
      </c>
      <c r="N119" s="91">
        <f t="shared" si="35"/>
        <v>99.91495551520303</v>
      </c>
      <c r="O119" s="91">
        <f t="shared" si="35"/>
        <v>0</v>
      </c>
      <c r="P119" s="92">
        <f t="shared" si="35"/>
        <v>2269.783367719634</v>
      </c>
      <c r="Q119" s="10" t="s">
        <v>1</v>
      </c>
      <c r="V119" s="499">
        <f>GPE!D19</f>
        <v>4491.721738446875</v>
      </c>
      <c r="W119" s="500" t="s">
        <v>1</v>
      </c>
      <c r="X119" s="497">
        <f>GPE!F19</f>
        <v>-22245.860869223437</v>
      </c>
      <c r="Y119" s="499">
        <f>GPE!G19</f>
        <v>5</v>
      </c>
      <c r="Z119" s="499">
        <f>GPE!H19</f>
        <v>100</v>
      </c>
      <c r="AA119" s="499">
        <f>GPE!I19</f>
        <v>300</v>
      </c>
      <c r="AB119" s="499">
        <f>GPE!J19</f>
        <v>0</v>
      </c>
      <c r="AC119" s="499">
        <f>GPE!K19</f>
        <v>6766</v>
      </c>
      <c r="AG119" s="317"/>
      <c r="AH119" s="317"/>
      <c r="AV119" s="317"/>
      <c r="AW119" s="317"/>
    </row>
    <row r="120" spans="1:49" ht="13.5" customHeight="1">
      <c r="A120" s="318"/>
      <c r="B120" s="318"/>
      <c r="C120" s="318"/>
      <c r="D120" s="319"/>
      <c r="E120" s="319"/>
      <c r="I120" s="317"/>
      <c r="J120" s="380"/>
      <c r="K120" s="317"/>
      <c r="L120" s="317"/>
      <c r="M120" s="317"/>
      <c r="N120" s="317"/>
      <c r="O120" s="317"/>
      <c r="P120" s="317"/>
      <c r="Q120" s="317"/>
      <c r="AW120" s="317"/>
    </row>
    <row r="121" spans="1:49" ht="13.5" customHeight="1">
      <c r="A121" s="318"/>
      <c r="B121" s="318"/>
      <c r="C121" s="318"/>
      <c r="D121" s="319"/>
      <c r="E121" s="319"/>
      <c r="I121" s="317"/>
      <c r="J121" s="380"/>
      <c r="K121" s="317"/>
      <c r="L121" s="317"/>
      <c r="M121" s="317"/>
      <c r="N121" s="317"/>
      <c r="O121" s="317"/>
      <c r="P121" s="317"/>
      <c r="Q121" s="317"/>
      <c r="AW121" s="317"/>
    </row>
    <row r="122" spans="1:49" ht="13.5" customHeight="1" thickBot="1">
      <c r="A122" s="318"/>
      <c r="B122" s="318"/>
      <c r="C122" s="318"/>
      <c r="D122" s="319"/>
      <c r="E122" s="319"/>
      <c r="J122" s="380"/>
      <c r="K122" s="55">
        <f aca="true" t="shared" si="36" ref="K122:P122">K50+DT*K$12*3*(K40-K50)</f>
        <v>0</v>
      </c>
      <c r="L122" s="56">
        <f t="shared" si="36"/>
        <v>0</v>
      </c>
      <c r="M122" s="57">
        <f t="shared" si="36"/>
        <v>0</v>
      </c>
      <c r="N122" s="58">
        <f t="shared" si="36"/>
        <v>0</v>
      </c>
      <c r="O122" s="57">
        <f t="shared" si="36"/>
        <v>0</v>
      </c>
      <c r="P122" s="58">
        <f t="shared" si="36"/>
        <v>0</v>
      </c>
      <c r="Q122" s="317"/>
      <c r="V122" s="537" t="s">
        <v>207</v>
      </c>
      <c r="AW122" s="317"/>
    </row>
    <row r="123" spans="1:49" ht="13.5" customHeight="1">
      <c r="A123" s="318"/>
      <c r="B123" s="318"/>
      <c r="C123" s="318"/>
      <c r="D123" s="319"/>
      <c r="E123" s="319"/>
      <c r="I123" s="317"/>
      <c r="J123" s="132" t="s">
        <v>82</v>
      </c>
      <c r="K123" s="10" t="s">
        <v>3</v>
      </c>
      <c r="L123" s="10" t="s">
        <v>4</v>
      </c>
      <c r="M123" s="10">
        <v>2</v>
      </c>
      <c r="N123" s="10">
        <v>3</v>
      </c>
      <c r="O123" s="10" t="s">
        <v>0</v>
      </c>
      <c r="P123" s="10" t="s">
        <v>1</v>
      </c>
      <c r="Q123" s="317"/>
      <c r="V123" s="116" t="s">
        <v>208</v>
      </c>
      <c r="AW123" s="315"/>
    </row>
    <row r="124" spans="1:23" ht="13.5" customHeight="1">
      <c r="A124" s="318"/>
      <c r="B124" s="318"/>
      <c r="C124" s="318"/>
      <c r="D124" s="319"/>
      <c r="E124" s="319"/>
      <c r="I124" s="410"/>
      <c r="J124" s="10" t="s">
        <v>3</v>
      </c>
      <c r="K124" s="60">
        <f aca="true" t="shared" si="37" ref="K124:P129">K52+DT*K$12*3*(K42-K52)</f>
        <v>103184.15587689757</v>
      </c>
      <c r="L124" s="61">
        <f t="shared" si="37"/>
        <v>-334.6025420289584</v>
      </c>
      <c r="M124" s="62">
        <f t="shared" si="37"/>
        <v>-843.15215997449</v>
      </c>
      <c r="N124" s="63">
        <f t="shared" si="37"/>
        <v>-1071.4115931156762</v>
      </c>
      <c r="O124" s="61">
        <f t="shared" si="37"/>
        <v>-292</v>
      </c>
      <c r="P124" s="63">
        <f t="shared" si="37"/>
        <v>-2922</v>
      </c>
      <c r="Q124" s="10">
        <v>0</v>
      </c>
      <c r="R124" s="319"/>
      <c r="S124" s="317"/>
      <c r="V124" s="119">
        <f>-SUM(V125:V129)</f>
        <v>1.3734875328664202</v>
      </c>
      <c r="W124" s="10">
        <v>0</v>
      </c>
    </row>
    <row r="125" spans="1:23" ht="13.5" customHeight="1">
      <c r="A125" s="318"/>
      <c r="B125" s="318"/>
      <c r="C125" s="318"/>
      <c r="D125" s="319"/>
      <c r="E125" s="319"/>
      <c r="I125" s="243"/>
      <c r="J125" s="10" t="s">
        <v>4</v>
      </c>
      <c r="K125" s="295">
        <f t="shared" si="37"/>
        <v>-27665.63993272315</v>
      </c>
      <c r="L125" s="70">
        <f t="shared" si="37"/>
        <v>98.4521438829357</v>
      </c>
      <c r="M125" s="70">
        <f t="shared" si="37"/>
        <v>228.9669684777883</v>
      </c>
      <c r="N125" s="71">
        <f t="shared" si="37"/>
        <v>260.2823332058275</v>
      </c>
      <c r="O125" s="72">
        <f t="shared" si="37"/>
        <v>6.0137113388490455</v>
      </c>
      <c r="P125" s="71">
        <f t="shared" si="37"/>
        <v>175.8396778377491</v>
      </c>
      <c r="Q125" s="10">
        <v>1</v>
      </c>
      <c r="R125" s="319"/>
      <c r="S125" s="317"/>
      <c r="V125" s="278">
        <f>AK73/(V8/V33-1)</f>
        <v>-17844.837954244533</v>
      </c>
      <c r="W125" s="10">
        <v>1</v>
      </c>
    </row>
    <row r="126" spans="1:23" ht="13.5" customHeight="1">
      <c r="A126" s="318"/>
      <c r="B126" s="318"/>
      <c r="C126" s="318"/>
      <c r="D126" s="319"/>
      <c r="E126" s="319"/>
      <c r="I126" s="243"/>
      <c r="J126" s="10" t="s">
        <v>6</v>
      </c>
      <c r="K126" s="296">
        <f t="shared" si="37"/>
        <v>-26185.70613317515</v>
      </c>
      <c r="L126" s="72">
        <f t="shared" si="37"/>
        <v>87.37077551445306</v>
      </c>
      <c r="M126" s="72">
        <f t="shared" si="37"/>
        <v>138.82586422636706</v>
      </c>
      <c r="N126" s="79">
        <f t="shared" si="37"/>
        <v>249.6632036461501</v>
      </c>
      <c r="O126" s="72">
        <f t="shared" si="37"/>
        <v>10.333567939545398</v>
      </c>
      <c r="P126" s="79">
        <f t="shared" si="37"/>
        <v>229.21757786964807</v>
      </c>
      <c r="Q126" s="10">
        <v>2</v>
      </c>
      <c r="R126" s="319"/>
      <c r="S126" s="317"/>
      <c r="V126" s="279">
        <f>AK74/(V9/V34-1)</f>
        <v>-18458.436140825946</v>
      </c>
      <c r="W126" s="10">
        <v>2</v>
      </c>
    </row>
    <row r="127" spans="1:23" ht="13.5" customHeight="1">
      <c r="A127" s="318"/>
      <c r="B127" s="318"/>
      <c r="C127" s="318"/>
      <c r="D127" s="319"/>
      <c r="E127" s="319"/>
      <c r="I127" s="242"/>
      <c r="J127" s="10" t="s">
        <v>7</v>
      </c>
      <c r="K127" s="297">
        <f t="shared" si="37"/>
        <v>-21740.618960342865</v>
      </c>
      <c r="L127" s="83">
        <f t="shared" si="37"/>
        <v>65.51044821770871</v>
      </c>
      <c r="M127" s="83">
        <f t="shared" si="37"/>
        <v>172.39790194486878</v>
      </c>
      <c r="N127" s="84">
        <f t="shared" si="37"/>
        <v>161.81224201647703</v>
      </c>
      <c r="O127" s="72">
        <f t="shared" si="37"/>
        <v>8.162537570619094</v>
      </c>
      <c r="P127" s="79">
        <f t="shared" si="37"/>
        <v>181.364808290979</v>
      </c>
      <c r="Q127" s="10">
        <v>3</v>
      </c>
      <c r="R127" s="319"/>
      <c r="S127" s="317"/>
      <c r="V127" s="280">
        <f>AK75/(V10/V35-1)</f>
        <v>-14000.503780371551</v>
      </c>
      <c r="W127" s="10">
        <v>3</v>
      </c>
    </row>
    <row r="128" spans="1:23" ht="13.5" customHeight="1">
      <c r="A128" s="318"/>
      <c r="B128" s="318"/>
      <c r="C128" s="318"/>
      <c r="D128" s="319"/>
      <c r="E128" s="319"/>
      <c r="I128" s="243">
        <f>I56+DT*3*(I46-I56)/Term</f>
        <v>-107883.61662822962</v>
      </c>
      <c r="J128" s="10" t="s">
        <v>0</v>
      </c>
      <c r="K128" s="77">
        <f t="shared" si="37"/>
        <v>-20360.11132343341</v>
      </c>
      <c r="L128" s="72">
        <f t="shared" si="37"/>
        <v>66.6043825709668</v>
      </c>
      <c r="M128" s="72">
        <f t="shared" si="37"/>
        <v>201.89872235885701</v>
      </c>
      <c r="N128" s="72">
        <f t="shared" si="37"/>
        <v>299.7399246614668</v>
      </c>
      <c r="O128" s="72">
        <f t="shared" si="37"/>
        <v>267.4901831509864</v>
      </c>
      <c r="P128" s="79">
        <f t="shared" si="37"/>
        <v>65.80399174110393</v>
      </c>
      <c r="Q128" s="10" t="s">
        <v>0</v>
      </c>
      <c r="R128" s="319"/>
      <c r="S128" s="317"/>
      <c r="V128" s="308">
        <f>AK76/(V11/V36-1)</f>
        <v>44681.67395637001</v>
      </c>
      <c r="W128" s="10" t="s">
        <v>0</v>
      </c>
    </row>
    <row r="129" spans="1:49" ht="13.5" customHeight="1" thickBot="1">
      <c r="A129" s="318"/>
      <c r="B129" s="318"/>
      <c r="C129" s="318"/>
      <c r="D129" s="319"/>
      <c r="E129" s="319"/>
      <c r="I129" s="371">
        <f>I57+DT*3*(I47-I57)/Term</f>
        <v>-13566.318981408205</v>
      </c>
      <c r="J129" s="10" t="s">
        <v>1</v>
      </c>
      <c r="K129" s="89">
        <f t="shared" si="37"/>
        <v>-7232.079527223001</v>
      </c>
      <c r="L129" s="90">
        <f t="shared" si="37"/>
        <v>16.664791842893603</v>
      </c>
      <c r="M129" s="91">
        <f t="shared" si="37"/>
        <v>101.06270296660874</v>
      </c>
      <c r="N129" s="91">
        <f t="shared" si="37"/>
        <v>99.91388958575506</v>
      </c>
      <c r="O129" s="91">
        <f t="shared" si="37"/>
        <v>0</v>
      </c>
      <c r="P129" s="92">
        <f t="shared" si="37"/>
        <v>2269.7739442605193</v>
      </c>
      <c r="Q129" s="10" t="s">
        <v>1</v>
      </c>
      <c r="R129" s="319"/>
      <c r="S129" s="317"/>
      <c r="V129" s="331">
        <f>AK77/(V12/V37-1)</f>
        <v>5620.730431539152</v>
      </c>
      <c r="W129" s="10" t="s">
        <v>1</v>
      </c>
      <c r="AG129" s="317"/>
      <c r="AH129" s="317"/>
      <c r="AV129" s="317"/>
      <c r="AW129" s="317"/>
    </row>
    <row r="130" spans="1:49" ht="13.5" customHeight="1">
      <c r="A130" s="370"/>
      <c r="B130" s="370"/>
      <c r="C130" s="370"/>
      <c r="D130" s="319"/>
      <c r="R130" s="319"/>
      <c r="AG130" s="317"/>
      <c r="AH130" s="317"/>
      <c r="AW130" s="317"/>
    </row>
    <row r="131" spans="1:49" ht="13.5" customHeight="1">
      <c r="A131" s="370"/>
      <c r="B131" s="370"/>
      <c r="C131" s="370"/>
      <c r="D131" s="319"/>
      <c r="F131" s="457" t="s">
        <v>168</v>
      </c>
      <c r="K131" s="317"/>
      <c r="L131" s="317"/>
      <c r="R131" s="319"/>
      <c r="S131" s="317"/>
      <c r="V131" s="489" t="s">
        <v>194</v>
      </c>
      <c r="AW131" s="317"/>
    </row>
    <row r="132" spans="1:49" ht="13.5" customHeight="1" thickBot="1">
      <c r="A132" s="370"/>
      <c r="B132" s="370"/>
      <c r="C132" s="370"/>
      <c r="D132" s="319"/>
      <c r="F132" s="457" t="s">
        <v>142</v>
      </c>
      <c r="G132" s="470">
        <f>LN(1-Nu)*(1-Nu)^Term+Nu*Kappa/Gamma</f>
        <v>0.32385851322509074</v>
      </c>
      <c r="I132" s="298">
        <f>Term-(1/I68-1/NPV)/G132</f>
        <v>6.3228782752596</v>
      </c>
      <c r="O132" s="484">
        <f>O60+DT*V132</f>
        <v>-865.6354471502328</v>
      </c>
      <c r="P132" s="485">
        <f>P60+DT*V133</f>
        <v>-8768.18088716559</v>
      </c>
      <c r="S132" s="317"/>
      <c r="V132" s="490">
        <f>(V128-V26)/AQ64/(1-AE36)</f>
        <v>-0.0006896767669836407</v>
      </c>
      <c r="W132" s="10" t="s">
        <v>0</v>
      </c>
      <c r="AW132" s="317"/>
    </row>
    <row r="133" spans="1:34" ht="13.5" customHeight="1" thickBot="1">
      <c r="A133" s="370"/>
      <c r="B133" s="370"/>
      <c r="C133" s="370"/>
      <c r="D133" s="319"/>
      <c r="S133" s="317"/>
      <c r="V133" s="491">
        <f>(V129-V27)/AR64/(1-AE37)</f>
        <v>-0.036774270649108175</v>
      </c>
      <c r="W133" s="10" t="s">
        <v>1</v>
      </c>
      <c r="AD133" s="317"/>
      <c r="AE133" s="317"/>
      <c r="AF133" s="317"/>
      <c r="AG133" s="317"/>
      <c r="AH133" s="317"/>
    </row>
    <row r="134" spans="1:34" ht="13.5" customHeight="1">
      <c r="A134" s="370"/>
      <c r="B134" s="370"/>
      <c r="C134" s="370"/>
      <c r="S134" s="317"/>
      <c r="AD134" s="317"/>
      <c r="AE134" s="317"/>
      <c r="AF134" s="317"/>
      <c r="AG134" s="317"/>
      <c r="AH134" s="317"/>
    </row>
    <row r="135" spans="1:34" ht="13.5" customHeight="1">
      <c r="A135" s="370"/>
      <c r="B135" s="370"/>
      <c r="C135" s="370"/>
      <c r="S135" s="317"/>
      <c r="AD135" s="317"/>
      <c r="AE135" s="317"/>
      <c r="AF135" s="317"/>
      <c r="AG135" s="317"/>
      <c r="AH135" s="317"/>
    </row>
    <row r="136" spans="1:34" ht="13.5" customHeight="1">
      <c r="A136" s="370"/>
      <c r="B136" s="370"/>
      <c r="C136" s="370"/>
      <c r="S136" s="317"/>
      <c r="V136" s="317"/>
      <c r="AD136" s="317"/>
      <c r="AE136" s="317"/>
      <c r="AF136" s="317"/>
      <c r="AG136" s="317"/>
      <c r="AH136" s="317"/>
    </row>
    <row r="137" spans="1:49" ht="13.5" customHeight="1">
      <c r="A137" s="370"/>
      <c r="B137" s="370"/>
      <c r="C137" s="370"/>
      <c r="AD137" s="317"/>
      <c r="AE137" s="317"/>
      <c r="AF137" s="317"/>
      <c r="AG137" s="317"/>
      <c r="AH137" s="317"/>
      <c r="AV137" s="317"/>
      <c r="AW137" s="317"/>
    </row>
    <row r="138" spans="1:35" ht="13.5" customHeight="1">
      <c r="A138" s="370"/>
      <c r="B138" s="370"/>
      <c r="C138" s="370"/>
      <c r="J138" s="302"/>
      <c r="K138" s="302"/>
      <c r="L138" s="302"/>
      <c r="M138" s="302"/>
      <c r="N138" s="302"/>
      <c r="O138" s="302"/>
      <c r="P138" s="302"/>
      <c r="U138" s="317"/>
      <c r="V138" s="317"/>
      <c r="W138" s="317"/>
      <c r="Y138" s="317"/>
      <c r="Z138" s="317"/>
      <c r="AA138" s="317"/>
      <c r="AB138" s="317"/>
      <c r="AC138" s="317"/>
      <c r="AI138" s="317"/>
    </row>
    <row r="139" spans="1:29" ht="13.5" customHeight="1">
      <c r="A139" s="370"/>
      <c r="B139" s="370"/>
      <c r="C139" s="370"/>
      <c r="J139" s="302"/>
      <c r="K139" s="302"/>
      <c r="U139" s="317"/>
      <c r="W139" s="317"/>
      <c r="X139" s="317"/>
      <c r="Y139" s="317"/>
      <c r="Z139" s="317"/>
      <c r="AA139" s="317"/>
      <c r="AB139" s="317"/>
      <c r="AC139" s="317"/>
    </row>
    <row r="140" spans="1:31" ht="13.5" customHeight="1">
      <c r="A140" s="370"/>
      <c r="B140" s="370"/>
      <c r="C140" s="370"/>
      <c r="I140" s="302"/>
      <c r="J140" s="302"/>
      <c r="K140" s="302"/>
      <c r="S140" s="317"/>
      <c r="U140" s="317"/>
      <c r="W140" s="317"/>
      <c r="X140" s="317"/>
      <c r="Y140" s="317"/>
      <c r="Z140" s="317"/>
      <c r="AA140" s="317"/>
      <c r="AB140" s="317"/>
      <c r="AC140" s="317"/>
      <c r="AD140" s="317"/>
      <c r="AE140" s="317"/>
    </row>
    <row r="141" spans="1:31" ht="13.5" customHeight="1">
      <c r="A141" s="370"/>
      <c r="B141" s="370"/>
      <c r="C141" s="370"/>
      <c r="I141" s="302"/>
      <c r="J141" s="302"/>
      <c r="K141" s="302"/>
      <c r="S141" s="317"/>
      <c r="U141" s="317"/>
      <c r="V141" s="317"/>
      <c r="W141" s="317"/>
      <c r="X141" s="317"/>
      <c r="Y141" s="317"/>
      <c r="Z141" s="317"/>
      <c r="AA141" s="317"/>
      <c r="AB141" s="317"/>
      <c r="AC141" s="317"/>
      <c r="AD141" s="317"/>
      <c r="AE141" s="317"/>
    </row>
    <row r="142" spans="1:31" ht="13.5" customHeight="1">
      <c r="A142" s="370"/>
      <c r="B142" s="370"/>
      <c r="C142" s="370"/>
      <c r="I142" s="302"/>
      <c r="J142" s="302"/>
      <c r="K142" s="302"/>
      <c r="S142" s="317"/>
      <c r="U142" s="317"/>
      <c r="V142" s="317"/>
      <c r="W142" s="317"/>
      <c r="X142" s="317"/>
      <c r="Y142" s="317"/>
      <c r="Z142" s="317"/>
      <c r="AA142" s="317"/>
      <c r="AB142" s="317"/>
      <c r="AC142" s="317"/>
      <c r="AD142" s="317"/>
      <c r="AE142" s="317"/>
    </row>
    <row r="143" spans="1:31" ht="13.5" customHeight="1">
      <c r="A143" s="370"/>
      <c r="B143" s="370"/>
      <c r="C143" s="370"/>
      <c r="I143" s="302"/>
      <c r="J143" s="302"/>
      <c r="K143" s="302"/>
      <c r="S143" s="317"/>
      <c r="U143" s="317"/>
      <c r="V143" s="317"/>
      <c r="W143" s="317"/>
      <c r="X143" s="317"/>
      <c r="Y143" s="317"/>
      <c r="Z143" s="317"/>
      <c r="AA143" s="317"/>
      <c r="AB143" s="317"/>
      <c r="AC143" s="317"/>
      <c r="AD143" s="317"/>
      <c r="AE143" s="317"/>
    </row>
    <row r="144" spans="1:31" ht="13.5" customHeight="1">
      <c r="A144" s="370"/>
      <c r="B144" s="370"/>
      <c r="C144" s="370"/>
      <c r="I144" s="302"/>
      <c r="J144" s="302"/>
      <c r="K144" s="302"/>
      <c r="S144" s="317"/>
      <c r="U144" s="317"/>
      <c r="V144" s="317"/>
      <c r="W144" s="317"/>
      <c r="X144" s="317"/>
      <c r="Y144" s="317"/>
      <c r="Z144" s="317"/>
      <c r="AA144" s="317"/>
      <c r="AB144" s="317"/>
      <c r="AC144" s="317"/>
      <c r="AD144" s="317"/>
      <c r="AE144" s="317"/>
    </row>
    <row r="145" spans="1:31" ht="13.5" customHeight="1">
      <c r="A145" s="370"/>
      <c r="B145" s="370"/>
      <c r="C145" s="370"/>
      <c r="I145" s="302"/>
      <c r="J145" s="302"/>
      <c r="K145" s="302"/>
      <c r="S145" s="317"/>
      <c r="U145" s="317"/>
      <c r="V145" s="317"/>
      <c r="W145" s="317"/>
      <c r="X145" s="317"/>
      <c r="Y145" s="317"/>
      <c r="Z145" s="317"/>
      <c r="AA145" s="317"/>
      <c r="AB145" s="317"/>
      <c r="AC145" s="317"/>
      <c r="AD145" s="317"/>
      <c r="AE145" s="317"/>
    </row>
    <row r="146" spans="1:31" ht="13.5" customHeight="1">
      <c r="A146" s="370"/>
      <c r="B146" s="370"/>
      <c r="C146" s="370"/>
      <c r="I146" s="302"/>
      <c r="J146" s="302"/>
      <c r="K146" s="302"/>
      <c r="L146" s="302"/>
      <c r="M146" s="302"/>
      <c r="N146" s="302"/>
      <c r="O146" s="302"/>
      <c r="P146" s="302"/>
      <c r="R146" s="317"/>
      <c r="S146" s="317"/>
      <c r="U146" s="317"/>
      <c r="V146" s="317"/>
      <c r="W146" s="317"/>
      <c r="X146" s="317"/>
      <c r="Y146" s="317"/>
      <c r="Z146" s="317"/>
      <c r="AA146" s="317"/>
      <c r="AB146" s="317"/>
      <c r="AC146" s="317"/>
      <c r="AD146" s="317"/>
      <c r="AE146" s="317"/>
    </row>
    <row r="147" spans="1:31" ht="13.5" customHeight="1">
      <c r="A147" s="370"/>
      <c r="B147" s="370"/>
      <c r="C147" s="370"/>
      <c r="I147" s="302"/>
      <c r="J147" s="302"/>
      <c r="K147" s="302"/>
      <c r="L147" s="302"/>
      <c r="M147" s="302"/>
      <c r="N147" s="302"/>
      <c r="O147" s="302"/>
      <c r="P147" s="302"/>
      <c r="R147" s="317"/>
      <c r="S147" s="317"/>
      <c r="T147" s="317"/>
      <c r="U147" s="317"/>
      <c r="V147" s="317"/>
      <c r="W147" s="317"/>
      <c r="X147" s="317"/>
      <c r="Y147" s="317"/>
      <c r="Z147" s="317"/>
      <c r="AA147" s="317"/>
      <c r="AB147" s="317"/>
      <c r="AC147" s="317"/>
      <c r="AD147" s="317"/>
      <c r="AE147" s="317"/>
    </row>
    <row r="148" spans="1:31" ht="13.5" customHeight="1">
      <c r="A148" s="370"/>
      <c r="B148" s="370"/>
      <c r="C148" s="370"/>
      <c r="I148" s="302"/>
      <c r="J148" s="302"/>
      <c r="K148" s="302"/>
      <c r="L148" s="302"/>
      <c r="M148" s="302"/>
      <c r="N148" s="302"/>
      <c r="O148" s="302"/>
      <c r="P148" s="302"/>
      <c r="R148" s="317"/>
      <c r="S148" s="317"/>
      <c r="T148" s="317"/>
      <c r="U148" s="317"/>
      <c r="V148" s="317"/>
      <c r="W148" s="317"/>
      <c r="X148" s="317"/>
      <c r="Y148" s="317"/>
      <c r="Z148" s="317"/>
      <c r="AA148" s="317"/>
      <c r="AB148" s="317"/>
      <c r="AC148" s="317"/>
      <c r="AD148" s="317"/>
      <c r="AE148" s="317"/>
    </row>
    <row r="149" spans="1:31" ht="13.5" customHeight="1">
      <c r="A149" s="370"/>
      <c r="B149" s="370"/>
      <c r="C149" s="370"/>
      <c r="I149" s="302"/>
      <c r="J149" s="302"/>
      <c r="K149" s="302"/>
      <c r="L149" s="302"/>
      <c r="M149" s="302"/>
      <c r="N149" s="302"/>
      <c r="O149" s="302"/>
      <c r="P149" s="302"/>
      <c r="R149" s="317"/>
      <c r="S149" s="317"/>
      <c r="T149" s="317"/>
      <c r="U149" s="317"/>
      <c r="V149" s="317"/>
      <c r="W149" s="317"/>
      <c r="X149" s="317"/>
      <c r="Y149" s="317"/>
      <c r="Z149" s="317"/>
      <c r="AA149" s="317"/>
      <c r="AB149" s="317"/>
      <c r="AC149" s="317"/>
      <c r="AD149" s="317"/>
      <c r="AE149" s="317"/>
    </row>
    <row r="150" spans="1:29" ht="13.5" customHeight="1">
      <c r="A150" s="370"/>
      <c r="B150" s="370"/>
      <c r="C150" s="370"/>
      <c r="D150" s="319"/>
      <c r="I150" s="302"/>
      <c r="J150" s="302"/>
      <c r="K150" s="302"/>
      <c r="R150" s="317"/>
      <c r="S150" s="317"/>
      <c r="T150" s="317"/>
      <c r="U150" s="317"/>
      <c r="V150" s="317"/>
      <c r="W150" s="317"/>
      <c r="X150" s="317"/>
      <c r="Y150" s="317"/>
      <c r="Z150" s="317"/>
      <c r="AA150" s="317"/>
      <c r="AB150" s="317"/>
      <c r="AC150" s="317"/>
    </row>
    <row r="151" spans="1:29" ht="13.5" customHeight="1">
      <c r="A151" s="370"/>
      <c r="B151" s="370"/>
      <c r="C151" s="370"/>
      <c r="D151" s="319"/>
      <c r="I151" s="302"/>
      <c r="J151" s="302"/>
      <c r="K151" s="302"/>
      <c r="R151" s="317"/>
      <c r="S151" s="317"/>
      <c r="T151" s="317"/>
      <c r="U151" s="317"/>
      <c r="V151" s="317"/>
      <c r="W151" s="317"/>
      <c r="X151" s="317"/>
      <c r="Y151" s="317"/>
      <c r="Z151" s="317"/>
      <c r="AA151" s="317"/>
      <c r="AB151" s="317"/>
      <c r="AC151" s="317"/>
    </row>
    <row r="152" spans="1:20" ht="13.5" customHeight="1">
      <c r="A152" s="370"/>
      <c r="B152" s="370"/>
      <c r="C152" s="370"/>
      <c r="D152" s="319"/>
      <c r="I152" s="302"/>
      <c r="J152" s="302"/>
      <c r="K152" s="302"/>
      <c r="L152" s="302"/>
      <c r="M152" s="302"/>
      <c r="N152" s="302"/>
      <c r="O152" s="302"/>
      <c r="R152" s="374"/>
      <c r="S152" s="317"/>
      <c r="T152" s="317"/>
    </row>
    <row r="153" spans="1:20" ht="13.5" customHeight="1">
      <c r="A153" s="370"/>
      <c r="B153" s="370"/>
      <c r="C153" s="370"/>
      <c r="D153" s="319"/>
      <c r="I153" s="302"/>
      <c r="J153" s="302"/>
      <c r="K153" s="302"/>
      <c r="L153" s="302"/>
      <c r="M153" s="302"/>
      <c r="N153" s="302"/>
      <c r="O153" s="302"/>
      <c r="R153" s="317"/>
      <c r="S153" s="317"/>
      <c r="T153" s="317"/>
    </row>
    <row r="154" spans="1:49" ht="13.5" customHeight="1">
      <c r="A154" s="370"/>
      <c r="B154" s="370"/>
      <c r="C154" s="370"/>
      <c r="D154" s="319"/>
      <c r="I154" s="302"/>
      <c r="J154" s="302"/>
      <c r="K154" s="302"/>
      <c r="L154" s="302"/>
      <c r="M154" s="302"/>
      <c r="N154" s="302"/>
      <c r="O154" s="302"/>
      <c r="S154" s="317"/>
      <c r="T154" s="317"/>
      <c r="AF154" s="317"/>
      <c r="AG154" s="317"/>
      <c r="AH154" s="317"/>
      <c r="AV154" s="317"/>
      <c r="AW154" s="317"/>
    </row>
    <row r="155" spans="1:49" ht="13.5" customHeight="1">
      <c r="A155" s="370"/>
      <c r="B155" s="370"/>
      <c r="C155" s="370"/>
      <c r="D155" s="319"/>
      <c r="I155" s="302"/>
      <c r="J155" s="302"/>
      <c r="K155" s="302"/>
      <c r="L155" s="302"/>
      <c r="M155" s="302"/>
      <c r="N155" s="302"/>
      <c r="O155" s="302"/>
      <c r="S155" s="317"/>
      <c r="T155" s="317"/>
      <c r="AF155" s="317"/>
      <c r="AG155" s="317"/>
      <c r="AH155" s="317"/>
      <c r="AV155" s="317"/>
      <c r="AW155" s="317"/>
    </row>
    <row r="156" spans="1:49" ht="13.5" customHeight="1">
      <c r="A156" s="370"/>
      <c r="B156" s="370"/>
      <c r="C156" s="370"/>
      <c r="D156" s="319"/>
      <c r="I156" s="302"/>
      <c r="J156" s="302"/>
      <c r="K156" s="302"/>
      <c r="L156" s="302"/>
      <c r="M156" s="302"/>
      <c r="N156" s="302"/>
      <c r="O156" s="302"/>
      <c r="S156" s="317"/>
      <c r="T156" s="317"/>
      <c r="AF156" s="317"/>
      <c r="AG156" s="317"/>
      <c r="AH156" s="317"/>
      <c r="AV156" s="317"/>
      <c r="AW156" s="317"/>
    </row>
    <row r="157" spans="1:49" ht="13.5" customHeight="1">
      <c r="A157" s="370"/>
      <c r="B157" s="370"/>
      <c r="C157" s="370"/>
      <c r="D157" s="319"/>
      <c r="I157" s="302"/>
      <c r="J157" s="302"/>
      <c r="K157" s="302"/>
      <c r="L157" s="302"/>
      <c r="M157" s="302"/>
      <c r="N157" s="302"/>
      <c r="O157" s="302"/>
      <c r="S157" s="317"/>
      <c r="T157" s="317"/>
      <c r="AF157" s="317"/>
      <c r="AG157" s="317"/>
      <c r="AH157" s="317"/>
      <c r="AV157" s="317"/>
      <c r="AW157" s="317"/>
    </row>
    <row r="158" spans="1:49" ht="13.5" customHeight="1">
      <c r="A158" s="370"/>
      <c r="B158" s="370"/>
      <c r="C158" s="370"/>
      <c r="D158" s="319"/>
      <c r="I158" s="302"/>
      <c r="J158" s="302"/>
      <c r="K158" s="302"/>
      <c r="L158" s="302"/>
      <c r="M158" s="302"/>
      <c r="N158" s="302"/>
      <c r="O158" s="302"/>
      <c r="S158" s="317"/>
      <c r="T158" s="317"/>
      <c r="AF158" s="317"/>
      <c r="AG158" s="317"/>
      <c r="AH158" s="317"/>
      <c r="AV158" s="317"/>
      <c r="AW158" s="317"/>
    </row>
    <row r="159" spans="1:49" ht="13.5" customHeight="1">
      <c r="A159" s="370"/>
      <c r="B159" s="370"/>
      <c r="C159" s="370"/>
      <c r="D159" s="319"/>
      <c r="I159" s="302"/>
      <c r="J159" s="302"/>
      <c r="K159" s="302"/>
      <c r="L159" s="302"/>
      <c r="M159" s="302"/>
      <c r="N159" s="302"/>
      <c r="O159" s="302"/>
      <c r="S159" s="317"/>
      <c r="T159" s="317"/>
      <c r="AF159" s="317"/>
      <c r="AG159" s="317"/>
      <c r="AH159" s="317"/>
      <c r="AV159" s="317"/>
      <c r="AW159" s="317"/>
    </row>
    <row r="160" spans="1:49" ht="13.5" customHeight="1">
      <c r="A160" s="370"/>
      <c r="B160" s="370"/>
      <c r="C160" s="370"/>
      <c r="D160" s="319"/>
      <c r="I160" s="302"/>
      <c r="J160" s="302"/>
      <c r="K160" s="302"/>
      <c r="L160" s="302"/>
      <c r="M160" s="302"/>
      <c r="N160" s="302"/>
      <c r="O160" s="302"/>
      <c r="S160" s="317"/>
      <c r="T160" s="317"/>
      <c r="AF160" s="317"/>
      <c r="AG160" s="317"/>
      <c r="AH160" s="317"/>
      <c r="AV160" s="317"/>
      <c r="AW160" s="317"/>
    </row>
    <row r="161" spans="1:49" ht="13.5" customHeight="1">
      <c r="A161" s="370"/>
      <c r="B161" s="370"/>
      <c r="C161" s="370"/>
      <c r="D161" s="319"/>
      <c r="I161" s="302"/>
      <c r="J161" s="302"/>
      <c r="K161" s="302"/>
      <c r="L161" s="302"/>
      <c r="M161" s="302"/>
      <c r="N161" s="302"/>
      <c r="O161" s="302"/>
      <c r="S161" s="317"/>
      <c r="T161" s="317"/>
      <c r="AF161" s="317"/>
      <c r="AG161" s="317"/>
      <c r="AH161" s="317"/>
      <c r="AV161" s="317"/>
      <c r="AW161" s="317"/>
    </row>
    <row r="162" spans="1:49" ht="13.5" customHeight="1">
      <c r="A162" s="370"/>
      <c r="B162" s="370"/>
      <c r="C162" s="370"/>
      <c r="D162" s="319"/>
      <c r="I162" s="302"/>
      <c r="J162" s="302"/>
      <c r="K162" s="302"/>
      <c r="L162" s="302"/>
      <c r="M162" s="302"/>
      <c r="N162" s="302"/>
      <c r="O162" s="302"/>
      <c r="S162" s="317"/>
      <c r="T162" s="317"/>
      <c r="AF162" s="317"/>
      <c r="AG162" s="317"/>
      <c r="AH162" s="317"/>
      <c r="AV162" s="317"/>
      <c r="AW162" s="317"/>
    </row>
    <row r="163" spans="1:49" ht="13.5" customHeight="1">
      <c r="A163" s="370"/>
      <c r="B163" s="370"/>
      <c r="C163" s="370"/>
      <c r="D163" s="319"/>
      <c r="I163" s="302"/>
      <c r="J163" s="302"/>
      <c r="K163" s="302"/>
      <c r="L163" s="302"/>
      <c r="M163" s="302"/>
      <c r="N163" s="302"/>
      <c r="O163" s="302"/>
      <c r="S163" s="317"/>
      <c r="T163" s="317"/>
      <c r="AF163" s="317"/>
      <c r="AG163" s="317"/>
      <c r="AH163" s="317"/>
      <c r="AT163" s="317"/>
      <c r="AU163" s="317"/>
      <c r="AV163" s="317"/>
      <c r="AW163" s="317"/>
    </row>
    <row r="164" spans="1:50" ht="13.5" customHeight="1">
      <c r="A164" s="370"/>
      <c r="B164" s="370"/>
      <c r="C164" s="370"/>
      <c r="D164" s="319"/>
      <c r="I164" s="302"/>
      <c r="J164" s="302"/>
      <c r="K164" s="302"/>
      <c r="L164" s="302"/>
      <c r="M164" s="302"/>
      <c r="N164" s="302"/>
      <c r="O164" s="302"/>
      <c r="Q164" s="317"/>
      <c r="S164" s="317"/>
      <c r="T164" s="317"/>
      <c r="U164" s="317"/>
      <c r="V164" s="317"/>
      <c r="W164" s="317"/>
      <c r="X164" s="317"/>
      <c r="Y164" s="317"/>
      <c r="Z164" s="317"/>
      <c r="AA164" s="317"/>
      <c r="AB164" s="317"/>
      <c r="AC164" s="317"/>
      <c r="AD164" s="317"/>
      <c r="AE164" s="317"/>
      <c r="AF164" s="317"/>
      <c r="AG164" s="317"/>
      <c r="AH164" s="317"/>
      <c r="AT164" s="317"/>
      <c r="AU164" s="317"/>
      <c r="AV164" s="317"/>
      <c r="AW164" s="317"/>
      <c r="AX164" s="317"/>
    </row>
    <row r="165" spans="1:50" ht="13.5" customHeight="1">
      <c r="A165" s="370"/>
      <c r="B165" s="370"/>
      <c r="C165" s="370"/>
      <c r="D165" s="319"/>
      <c r="I165" s="302"/>
      <c r="J165" s="302"/>
      <c r="K165" s="302"/>
      <c r="L165" s="302"/>
      <c r="M165" s="302"/>
      <c r="N165" s="302"/>
      <c r="O165" s="302"/>
      <c r="S165" s="317"/>
      <c r="T165" s="317"/>
      <c r="U165" s="317"/>
      <c r="V165" s="317"/>
      <c r="W165" s="317"/>
      <c r="X165" s="317"/>
      <c r="Y165" s="317"/>
      <c r="Z165" s="317"/>
      <c r="AA165" s="317"/>
      <c r="AB165" s="317"/>
      <c r="AC165" s="317"/>
      <c r="AD165" s="317"/>
      <c r="AE165" s="317"/>
      <c r="AF165" s="317"/>
      <c r="AG165" s="317"/>
      <c r="AH165" s="317"/>
      <c r="AT165" s="317"/>
      <c r="AU165" s="317"/>
      <c r="AV165" s="317"/>
      <c r="AW165" s="317"/>
      <c r="AX165" s="317"/>
    </row>
    <row r="166" spans="1:50" ht="13.5" customHeight="1">
      <c r="A166" s="370"/>
      <c r="B166" s="370"/>
      <c r="C166" s="370"/>
      <c r="D166" s="319"/>
      <c r="I166" s="302"/>
      <c r="J166" s="302"/>
      <c r="K166" s="302"/>
      <c r="L166" s="302"/>
      <c r="M166" s="302"/>
      <c r="N166" s="302"/>
      <c r="O166" s="302"/>
      <c r="S166" s="317"/>
      <c r="T166" s="317"/>
      <c r="U166" s="317"/>
      <c r="V166" s="317"/>
      <c r="W166" s="317"/>
      <c r="X166" s="317"/>
      <c r="Y166" s="317"/>
      <c r="Z166" s="317"/>
      <c r="AA166" s="317"/>
      <c r="AB166" s="317"/>
      <c r="AC166" s="317"/>
      <c r="AD166" s="317"/>
      <c r="AE166" s="317"/>
      <c r="AF166" s="317"/>
      <c r="AG166" s="317"/>
      <c r="AH166" s="317"/>
      <c r="AT166" s="317"/>
      <c r="AU166" s="317"/>
      <c r="AV166" s="317"/>
      <c r="AW166" s="317"/>
      <c r="AX166" s="317"/>
    </row>
    <row r="167" spans="1:50" ht="13.5" customHeight="1">
      <c r="A167" s="370"/>
      <c r="B167" s="370"/>
      <c r="C167" s="370"/>
      <c r="D167" s="319"/>
      <c r="I167" s="302"/>
      <c r="J167" s="302"/>
      <c r="K167" s="302"/>
      <c r="L167" s="302"/>
      <c r="M167" s="302"/>
      <c r="N167" s="302"/>
      <c r="O167" s="302"/>
      <c r="P167" s="317"/>
      <c r="Q167" s="317"/>
      <c r="R167" s="317"/>
      <c r="S167" s="317"/>
      <c r="T167" s="317"/>
      <c r="U167" s="317"/>
      <c r="V167" s="317"/>
      <c r="W167" s="317"/>
      <c r="X167" s="317"/>
      <c r="Y167" s="317"/>
      <c r="Z167" s="317"/>
      <c r="AA167" s="317"/>
      <c r="AB167" s="317"/>
      <c r="AC167" s="317"/>
      <c r="AD167" s="317"/>
      <c r="AE167" s="317"/>
      <c r="AF167" s="317"/>
      <c r="AG167" s="317"/>
      <c r="AH167" s="317"/>
      <c r="AT167" s="317"/>
      <c r="AU167" s="317"/>
      <c r="AV167" s="317"/>
      <c r="AW167" s="317"/>
      <c r="AX167" s="317"/>
    </row>
    <row r="168" spans="1:50" ht="13.5" customHeight="1">
      <c r="A168" s="370"/>
      <c r="B168" s="370"/>
      <c r="C168" s="370"/>
      <c r="D168" s="319"/>
      <c r="I168" s="302"/>
      <c r="J168" s="302"/>
      <c r="K168" s="302"/>
      <c r="L168" s="302"/>
      <c r="M168" s="302"/>
      <c r="N168" s="302"/>
      <c r="O168" s="302"/>
      <c r="R168" s="317"/>
      <c r="S168" s="317"/>
      <c r="T168" s="317"/>
      <c r="U168" s="317"/>
      <c r="V168" s="317"/>
      <c r="W168" s="317"/>
      <c r="X168" s="317"/>
      <c r="Y168" s="317"/>
      <c r="Z168" s="317"/>
      <c r="AA168" s="317"/>
      <c r="AB168" s="317"/>
      <c r="AC168" s="317"/>
      <c r="AD168" s="317"/>
      <c r="AE168" s="317"/>
      <c r="AF168" s="317"/>
      <c r="AG168" s="317"/>
      <c r="AH168" s="317"/>
      <c r="AT168" s="317"/>
      <c r="AU168" s="317"/>
      <c r="AV168" s="317"/>
      <c r="AW168" s="317"/>
      <c r="AX168" s="317"/>
    </row>
    <row r="169" spans="1:50" ht="13.5" customHeight="1">
      <c r="A169" s="370"/>
      <c r="B169" s="370"/>
      <c r="C169" s="370"/>
      <c r="D169" s="319"/>
      <c r="I169" s="302"/>
      <c r="J169" s="302"/>
      <c r="K169" s="302"/>
      <c r="L169" s="302"/>
      <c r="M169" s="302"/>
      <c r="N169" s="302"/>
      <c r="O169" s="302"/>
      <c r="R169" s="317"/>
      <c r="S169" s="317"/>
      <c r="T169" s="317"/>
      <c r="U169" s="317"/>
      <c r="V169" s="317"/>
      <c r="W169" s="317"/>
      <c r="X169" s="317"/>
      <c r="Y169" s="317"/>
      <c r="Z169" s="317"/>
      <c r="AA169" s="317"/>
      <c r="AB169" s="317"/>
      <c r="AC169" s="317"/>
      <c r="AD169" s="317"/>
      <c r="AE169" s="317"/>
      <c r="AF169" s="317"/>
      <c r="AG169" s="317"/>
      <c r="AH169" s="317"/>
      <c r="AT169" s="317"/>
      <c r="AU169" s="317"/>
      <c r="AV169" s="317"/>
      <c r="AW169" s="317"/>
      <c r="AX169" s="317"/>
    </row>
    <row r="170" spans="1:50" ht="13.5" customHeight="1">
      <c r="A170" s="370"/>
      <c r="B170" s="370"/>
      <c r="C170" s="370"/>
      <c r="D170" s="319"/>
      <c r="I170" s="302"/>
      <c r="J170" s="302"/>
      <c r="K170" s="302"/>
      <c r="L170" s="302"/>
      <c r="M170" s="302"/>
      <c r="N170" s="302"/>
      <c r="O170" s="302"/>
      <c r="P170" s="317"/>
      <c r="Q170" s="317"/>
      <c r="R170" s="317"/>
      <c r="S170" s="317"/>
      <c r="T170" s="317"/>
      <c r="U170" s="317"/>
      <c r="V170" s="317"/>
      <c r="W170" s="317"/>
      <c r="X170" s="317"/>
      <c r="Y170" s="317"/>
      <c r="Z170" s="317"/>
      <c r="AA170" s="317"/>
      <c r="AB170" s="317"/>
      <c r="AC170" s="317"/>
      <c r="AD170" s="317"/>
      <c r="AE170" s="317"/>
      <c r="AF170" s="317"/>
      <c r="AG170" s="317"/>
      <c r="AH170" s="317"/>
      <c r="AT170" s="317"/>
      <c r="AU170" s="317"/>
      <c r="AV170" s="317"/>
      <c r="AW170" s="317"/>
      <c r="AX170" s="317"/>
    </row>
    <row r="171" spans="1:50" ht="13.5" customHeight="1">
      <c r="A171" s="370"/>
      <c r="B171" s="370"/>
      <c r="C171" s="370"/>
      <c r="D171" s="319"/>
      <c r="I171" s="302"/>
      <c r="J171" s="302"/>
      <c r="K171" s="302"/>
      <c r="L171" s="302"/>
      <c r="M171" s="302"/>
      <c r="N171" s="302"/>
      <c r="O171" s="302"/>
      <c r="P171" s="317"/>
      <c r="Q171" s="317"/>
      <c r="R171" s="317"/>
      <c r="S171" s="317"/>
      <c r="T171" s="317"/>
      <c r="U171" s="317"/>
      <c r="V171" s="317"/>
      <c r="W171" s="317"/>
      <c r="X171" s="317"/>
      <c r="Y171" s="317"/>
      <c r="Z171" s="317"/>
      <c r="AA171" s="317"/>
      <c r="AB171" s="317"/>
      <c r="AC171" s="317"/>
      <c r="AD171" s="317"/>
      <c r="AE171" s="317"/>
      <c r="AF171" s="317"/>
      <c r="AG171" s="317"/>
      <c r="AH171" s="317"/>
      <c r="AT171" s="317"/>
      <c r="AU171" s="317"/>
      <c r="AV171" s="317"/>
      <c r="AW171" s="317"/>
      <c r="AX171" s="317"/>
    </row>
    <row r="172" spans="1:50" ht="13.5" customHeight="1">
      <c r="A172" s="370"/>
      <c r="B172" s="370"/>
      <c r="C172" s="370"/>
      <c r="D172" s="319"/>
      <c r="I172" s="302"/>
      <c r="J172" s="302"/>
      <c r="K172" s="302"/>
      <c r="L172" s="302"/>
      <c r="M172" s="302"/>
      <c r="N172" s="302"/>
      <c r="O172" s="302"/>
      <c r="P172" s="317"/>
      <c r="Q172" s="317"/>
      <c r="R172" s="317"/>
      <c r="S172" s="317"/>
      <c r="T172" s="317"/>
      <c r="U172" s="317"/>
      <c r="V172" s="317"/>
      <c r="W172" s="317"/>
      <c r="X172" s="317"/>
      <c r="Y172" s="317"/>
      <c r="Z172" s="317"/>
      <c r="AA172" s="317"/>
      <c r="AB172" s="317"/>
      <c r="AC172" s="317"/>
      <c r="AD172" s="317"/>
      <c r="AE172" s="317"/>
      <c r="AF172" s="317"/>
      <c r="AG172" s="317"/>
      <c r="AH172" s="317"/>
      <c r="AT172" s="317"/>
      <c r="AU172" s="317"/>
      <c r="AV172" s="317"/>
      <c r="AW172" s="317"/>
      <c r="AX172" s="317"/>
    </row>
    <row r="173" spans="1:50" ht="13.5" customHeight="1">
      <c r="A173" s="370"/>
      <c r="B173" s="370"/>
      <c r="C173" s="370"/>
      <c r="D173" s="319"/>
      <c r="I173" s="302"/>
      <c r="J173" s="302"/>
      <c r="K173" s="302"/>
      <c r="L173" s="302"/>
      <c r="M173" s="302"/>
      <c r="N173" s="302"/>
      <c r="O173" s="302"/>
      <c r="P173" s="317"/>
      <c r="Q173" s="317"/>
      <c r="R173" s="317"/>
      <c r="S173" s="317"/>
      <c r="T173" s="317"/>
      <c r="U173" s="317"/>
      <c r="V173" s="317"/>
      <c r="W173" s="317"/>
      <c r="X173" s="317"/>
      <c r="Y173" s="317"/>
      <c r="Z173" s="317"/>
      <c r="AA173" s="317"/>
      <c r="AB173" s="317"/>
      <c r="AC173" s="317"/>
      <c r="AD173" s="317"/>
      <c r="AE173" s="317"/>
      <c r="AF173" s="317"/>
      <c r="AG173" s="317"/>
      <c r="AH173" s="317"/>
      <c r="AT173" s="317"/>
      <c r="AU173" s="317"/>
      <c r="AV173" s="317"/>
      <c r="AW173" s="317"/>
      <c r="AX173" s="317"/>
    </row>
    <row r="174" spans="1:50" ht="13.5" customHeight="1">
      <c r="A174" s="370"/>
      <c r="B174" s="370"/>
      <c r="C174" s="370"/>
      <c r="D174" s="319"/>
      <c r="I174" s="302"/>
      <c r="J174" s="302"/>
      <c r="K174" s="302"/>
      <c r="L174" s="302"/>
      <c r="M174" s="302"/>
      <c r="N174" s="302"/>
      <c r="O174" s="302"/>
      <c r="P174" s="317"/>
      <c r="Q174" s="317"/>
      <c r="R174" s="317"/>
      <c r="S174" s="317"/>
      <c r="T174" s="317"/>
      <c r="U174" s="317"/>
      <c r="V174" s="317"/>
      <c r="W174" s="317"/>
      <c r="X174" s="317"/>
      <c r="Y174" s="317"/>
      <c r="Z174" s="317"/>
      <c r="AA174" s="317"/>
      <c r="AB174" s="317"/>
      <c r="AC174" s="317"/>
      <c r="AD174" s="317"/>
      <c r="AE174" s="317"/>
      <c r="AF174" s="317"/>
      <c r="AG174" s="317"/>
      <c r="AH174" s="317"/>
      <c r="AT174" s="317"/>
      <c r="AU174" s="317"/>
      <c r="AV174" s="317"/>
      <c r="AW174" s="317"/>
      <c r="AX174" s="317"/>
    </row>
    <row r="175" spans="1:50" ht="13.5" customHeight="1">
      <c r="A175" s="370"/>
      <c r="B175" s="370"/>
      <c r="C175" s="370"/>
      <c r="D175" s="319"/>
      <c r="I175" s="302"/>
      <c r="J175" s="302"/>
      <c r="K175" s="302"/>
      <c r="L175" s="302"/>
      <c r="M175" s="302"/>
      <c r="N175" s="302"/>
      <c r="O175" s="302"/>
      <c r="P175" s="317"/>
      <c r="Q175" s="317"/>
      <c r="R175" s="317"/>
      <c r="S175" s="317"/>
      <c r="T175" s="317"/>
      <c r="U175" s="317"/>
      <c r="V175" s="317"/>
      <c r="W175" s="317"/>
      <c r="X175" s="317"/>
      <c r="Y175" s="317"/>
      <c r="Z175" s="317"/>
      <c r="AA175" s="317"/>
      <c r="AB175" s="317"/>
      <c r="AC175" s="317"/>
      <c r="AD175" s="317"/>
      <c r="AE175" s="317"/>
      <c r="AF175" s="317"/>
      <c r="AG175" s="317"/>
      <c r="AH175" s="317"/>
      <c r="AT175" s="317"/>
      <c r="AU175" s="317"/>
      <c r="AV175" s="317"/>
      <c r="AW175" s="317"/>
      <c r="AX175" s="317"/>
    </row>
    <row r="176" spans="1:50" ht="13.5" customHeight="1">
      <c r="A176" s="370"/>
      <c r="B176" s="370"/>
      <c r="C176" s="370"/>
      <c r="D176" s="319"/>
      <c r="I176" s="302"/>
      <c r="J176" s="302"/>
      <c r="K176" s="302"/>
      <c r="L176" s="302"/>
      <c r="M176" s="302"/>
      <c r="N176" s="302"/>
      <c r="O176" s="302"/>
      <c r="P176" s="317"/>
      <c r="Q176" s="317"/>
      <c r="R176" s="317"/>
      <c r="S176" s="317"/>
      <c r="T176" s="317"/>
      <c r="U176" s="317"/>
      <c r="V176" s="317"/>
      <c r="W176" s="317"/>
      <c r="X176" s="317"/>
      <c r="Y176" s="317"/>
      <c r="Z176" s="317"/>
      <c r="AA176" s="317"/>
      <c r="AB176" s="317"/>
      <c r="AC176" s="317"/>
      <c r="AD176" s="317"/>
      <c r="AE176" s="317"/>
      <c r="AF176" s="317"/>
      <c r="AG176" s="317"/>
      <c r="AH176" s="317"/>
      <c r="AT176" s="317"/>
      <c r="AU176" s="317"/>
      <c r="AV176" s="317"/>
      <c r="AW176" s="317"/>
      <c r="AX176" s="317"/>
    </row>
    <row r="177" spans="1:50" ht="13.5" customHeight="1">
      <c r="A177" s="370"/>
      <c r="B177" s="370"/>
      <c r="C177" s="370"/>
      <c r="D177" s="319"/>
      <c r="I177" s="302"/>
      <c r="J177" s="302"/>
      <c r="K177" s="302"/>
      <c r="L177" s="302"/>
      <c r="M177" s="302"/>
      <c r="N177" s="302"/>
      <c r="O177" s="302"/>
      <c r="P177" s="317"/>
      <c r="Q177" s="317"/>
      <c r="R177" s="317"/>
      <c r="S177" s="317"/>
      <c r="T177" s="317"/>
      <c r="U177" s="317"/>
      <c r="V177" s="317"/>
      <c r="W177" s="317"/>
      <c r="X177" s="317"/>
      <c r="Y177" s="317"/>
      <c r="Z177" s="317"/>
      <c r="AA177" s="317"/>
      <c r="AB177" s="317"/>
      <c r="AC177" s="317"/>
      <c r="AD177" s="317"/>
      <c r="AE177" s="317"/>
      <c r="AF177" s="317"/>
      <c r="AG177" s="317"/>
      <c r="AH177" s="317"/>
      <c r="AT177" s="317"/>
      <c r="AU177" s="317"/>
      <c r="AV177" s="317"/>
      <c r="AW177" s="317"/>
      <c r="AX177" s="317"/>
    </row>
    <row r="178" spans="9:15" ht="13.5" customHeight="1">
      <c r="I178" s="302"/>
      <c r="J178" s="302"/>
      <c r="K178" s="302"/>
      <c r="L178" s="302"/>
      <c r="M178" s="302"/>
      <c r="N178" s="302"/>
      <c r="O178" s="302"/>
    </row>
    <row r="179" spans="9:15" ht="13.5" customHeight="1">
      <c r="I179" s="302"/>
      <c r="J179" s="302"/>
      <c r="K179" s="302"/>
      <c r="L179" s="302"/>
      <c r="M179" s="302"/>
      <c r="N179" s="302"/>
      <c r="O179" s="302"/>
    </row>
    <row r="180" spans="9:15" ht="13.5" customHeight="1">
      <c r="I180" s="302"/>
      <c r="J180" s="302"/>
      <c r="K180" s="302"/>
      <c r="L180" s="302"/>
      <c r="M180" s="302"/>
      <c r="N180" s="302"/>
      <c r="O180" s="302"/>
    </row>
    <row r="181" spans="9:15" ht="13.5" customHeight="1">
      <c r="I181" s="302"/>
      <c r="J181" s="302"/>
      <c r="K181" s="302"/>
      <c r="L181" s="302"/>
      <c r="M181" s="302"/>
      <c r="N181" s="302"/>
      <c r="O181" s="302"/>
    </row>
    <row r="182" spans="9:15" ht="13.5" customHeight="1">
      <c r="I182" s="302"/>
      <c r="J182" s="302"/>
      <c r="K182" s="302"/>
      <c r="L182" s="302"/>
      <c r="M182" s="302"/>
      <c r="N182" s="302"/>
      <c r="O182" s="302"/>
    </row>
    <row r="183" spans="9:15" ht="13.5" customHeight="1">
      <c r="I183" s="302"/>
      <c r="J183" s="302"/>
      <c r="K183" s="302"/>
      <c r="L183" s="302"/>
      <c r="M183" s="302"/>
      <c r="N183" s="302"/>
      <c r="O183" s="302"/>
    </row>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sheetData>
  <sheetProtection selectLockedCells="1" selectUnlockedCells="1"/>
  <printOptions horizontalCentered="1" verticalCentered="1"/>
  <pageMargins left="0.7479166666666667" right="0.7479166666666667" top="0.25" bottom="0.25" header="0.5118055555555555" footer="0.5118055555555555"/>
  <pageSetup fitToHeight="1" fitToWidth="1" horizontalDpi="300" verticalDpi="300" orientation="landscape" paperSize="3"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K80"/>
  <sheetViews>
    <sheetView showGridLines="0" workbookViewId="0" topLeftCell="A1">
      <selection activeCell="A1" sqref="A1"/>
    </sheetView>
  </sheetViews>
  <sheetFormatPr defaultColWidth="9.00390625" defaultRowHeight="13.5"/>
  <sheetData>
    <row r="1" spans="1:37" ht="13.5">
      <c r="A1" s="1"/>
      <c r="B1" s="1"/>
      <c r="C1" s="1"/>
      <c r="D1" s="1"/>
      <c r="E1" s="1"/>
      <c r="F1" s="1"/>
      <c r="G1" s="1"/>
      <c r="H1" s="1"/>
      <c r="I1" s="1"/>
      <c r="J1" s="1"/>
      <c r="K1" s="1"/>
      <c r="L1" s="1"/>
      <c r="M1" s="1"/>
      <c r="N1" s="1"/>
      <c r="O1" s="1"/>
      <c r="P1" s="1"/>
      <c r="Q1" s="1"/>
      <c r="R1" s="1"/>
      <c r="S1" s="1"/>
      <c r="T1" s="1"/>
      <c r="U1" s="1"/>
      <c r="V1" s="1"/>
      <c r="W1" s="246"/>
      <c r="X1" s="246"/>
      <c r="Y1" s="246"/>
      <c r="Z1" s="246"/>
      <c r="AA1" s="246"/>
      <c r="AB1" s="246"/>
      <c r="AC1" s="246"/>
      <c r="AD1" s="246"/>
      <c r="AE1" s="246"/>
      <c r="AF1" s="246"/>
      <c r="AG1" s="246"/>
      <c r="AH1" s="246"/>
      <c r="AI1" s="246"/>
      <c r="AJ1" s="246"/>
      <c r="AK1" s="246"/>
    </row>
    <row r="2" spans="1:37" ht="13.5">
      <c r="A2" s="1"/>
      <c r="B2" s="1"/>
      <c r="C2" s="1"/>
      <c r="D2" s="1"/>
      <c r="E2" s="1"/>
      <c r="F2" s="1"/>
      <c r="G2" s="1"/>
      <c r="H2" s="1"/>
      <c r="I2" s="1"/>
      <c r="J2" s="1"/>
      <c r="K2" s="1"/>
      <c r="L2" s="1"/>
      <c r="M2" s="1"/>
      <c r="N2" s="1"/>
      <c r="O2" s="1"/>
      <c r="P2" s="1"/>
      <c r="Q2" s="1"/>
      <c r="R2" s="1"/>
      <c r="S2" s="1"/>
      <c r="T2" s="1"/>
      <c r="U2" s="1"/>
      <c r="V2" s="1"/>
      <c r="W2" s="246"/>
      <c r="X2" s="246"/>
      <c r="Y2" s="246"/>
      <c r="Z2" s="246"/>
      <c r="AA2" s="246"/>
      <c r="AB2" s="246"/>
      <c r="AC2" s="246"/>
      <c r="AD2" s="246"/>
      <c r="AE2" s="246"/>
      <c r="AF2" s="246"/>
      <c r="AG2" s="246"/>
      <c r="AH2" s="246"/>
      <c r="AI2" s="246"/>
      <c r="AJ2" s="246"/>
      <c r="AK2" s="246"/>
    </row>
    <row r="3" spans="1:37" ht="15.75">
      <c r="A3" s="1"/>
      <c r="B3" s="1"/>
      <c r="C3" s="164" t="s">
        <v>26</v>
      </c>
      <c r="D3" s="1"/>
      <c r="E3" s="1"/>
      <c r="F3" s="1"/>
      <c r="G3" s="1"/>
      <c r="H3" s="1"/>
      <c r="I3" s="1"/>
      <c r="J3" s="164" t="s">
        <v>27</v>
      </c>
      <c r="K3" s="1"/>
      <c r="L3" s="1"/>
      <c r="M3" s="1"/>
      <c r="N3" s="1"/>
      <c r="O3" s="1"/>
      <c r="P3" s="1"/>
      <c r="Q3" s="1"/>
      <c r="R3" s="1"/>
      <c r="S3" s="1"/>
      <c r="T3" s="1"/>
      <c r="U3" s="1"/>
      <c r="V3" s="1"/>
      <c r="W3" s="246"/>
      <c r="X3" s="246"/>
      <c r="Y3" s="246"/>
      <c r="Z3" s="246"/>
      <c r="AA3" s="246"/>
      <c r="AB3" s="246"/>
      <c r="AC3" s="246"/>
      <c r="AD3" s="246"/>
      <c r="AE3" s="246"/>
      <c r="AF3" s="246"/>
      <c r="AG3" s="246"/>
      <c r="AH3" s="246"/>
      <c r="AI3" s="246"/>
      <c r="AJ3" s="246"/>
      <c r="AK3" s="246"/>
    </row>
    <row r="4" spans="1:37" ht="15.75">
      <c r="A4" s="1"/>
      <c r="B4" s="1"/>
      <c r="C4" s="164" t="s">
        <v>28</v>
      </c>
      <c r="D4" s="1"/>
      <c r="E4" s="1"/>
      <c r="F4" s="1"/>
      <c r="G4" s="1"/>
      <c r="H4" s="1"/>
      <c r="I4" s="1"/>
      <c r="J4" s="164" t="s">
        <v>29</v>
      </c>
      <c r="K4" s="1"/>
      <c r="L4" s="1"/>
      <c r="M4" s="1"/>
      <c r="N4" s="1"/>
      <c r="O4" s="1"/>
      <c r="P4" s="1"/>
      <c r="Q4" s="1"/>
      <c r="R4" s="1"/>
      <c r="S4" s="1"/>
      <c r="T4" s="1"/>
      <c r="U4" s="1"/>
      <c r="V4" s="1"/>
      <c r="W4" s="246"/>
      <c r="X4" s="246"/>
      <c r="Y4" s="246"/>
      <c r="Z4" s="246"/>
      <c r="AA4" s="246"/>
      <c r="AB4" s="246"/>
      <c r="AC4" s="246"/>
      <c r="AD4" s="246"/>
      <c r="AE4" s="246"/>
      <c r="AF4" s="246"/>
      <c r="AG4" s="246"/>
      <c r="AH4" s="246"/>
      <c r="AI4" s="246"/>
      <c r="AJ4" s="246"/>
      <c r="AK4" s="246"/>
    </row>
    <row r="5" spans="1:37" ht="13.5">
      <c r="A5" s="1"/>
      <c r="B5" s="1"/>
      <c r="C5" s="1"/>
      <c r="D5" s="1"/>
      <c r="E5" s="1"/>
      <c r="F5" s="1"/>
      <c r="G5" s="1"/>
      <c r="H5" s="1"/>
      <c r="I5" s="1"/>
      <c r="J5" s="1"/>
      <c r="K5" s="1"/>
      <c r="L5" s="1"/>
      <c r="M5" s="1"/>
      <c r="N5" s="1"/>
      <c r="O5" s="1"/>
      <c r="P5" s="1"/>
      <c r="Q5" s="1"/>
      <c r="R5" s="1"/>
      <c r="S5" s="1"/>
      <c r="T5" s="1"/>
      <c r="U5" s="1"/>
      <c r="V5" s="1"/>
      <c r="W5" s="246"/>
      <c r="X5" s="246"/>
      <c r="Y5" s="246"/>
      <c r="Z5" s="246"/>
      <c r="AA5" s="246"/>
      <c r="AB5" s="246"/>
      <c r="AC5" s="246"/>
      <c r="AD5" s="246"/>
      <c r="AE5" s="246"/>
      <c r="AF5" s="246"/>
      <c r="AG5" s="246"/>
      <c r="AH5" s="246"/>
      <c r="AI5" s="246"/>
      <c r="AJ5" s="246"/>
      <c r="AK5" s="246"/>
    </row>
    <row r="6" spans="1:37" ht="13.5">
      <c r="A6" s="1"/>
      <c r="B6" s="1"/>
      <c r="C6" s="1"/>
      <c r="D6" s="1"/>
      <c r="E6" s="1"/>
      <c r="F6" s="1"/>
      <c r="G6" s="1"/>
      <c r="H6" s="1"/>
      <c r="I6" s="1"/>
      <c r="J6" s="1"/>
      <c r="K6" s="1"/>
      <c r="L6" s="1"/>
      <c r="M6" s="1"/>
      <c r="N6" s="1"/>
      <c r="O6" s="1"/>
      <c r="P6" s="1"/>
      <c r="Q6" s="1"/>
      <c r="R6" s="1"/>
      <c r="S6" s="1"/>
      <c r="T6" s="1"/>
      <c r="U6" s="1"/>
      <c r="V6" s="1"/>
      <c r="W6" s="246"/>
      <c r="X6" s="246"/>
      <c r="Y6" s="246"/>
      <c r="Z6" s="246"/>
      <c r="AA6" s="246"/>
      <c r="AB6" s="246"/>
      <c r="AC6" s="246"/>
      <c r="AD6" s="246"/>
      <c r="AE6" s="246"/>
      <c r="AF6" s="246"/>
      <c r="AG6" s="246"/>
      <c r="AH6" s="246"/>
      <c r="AI6" s="246"/>
      <c r="AJ6" s="246"/>
      <c r="AK6" s="246"/>
    </row>
    <row r="7" spans="1:37" ht="13.5">
      <c r="A7" s="1"/>
      <c r="B7" s="1"/>
      <c r="C7" s="1"/>
      <c r="D7" s="1"/>
      <c r="E7" s="1"/>
      <c r="F7" s="1"/>
      <c r="G7" s="1"/>
      <c r="H7" s="1"/>
      <c r="I7" s="1"/>
      <c r="J7" s="1"/>
      <c r="K7" s="1"/>
      <c r="L7" s="1"/>
      <c r="M7" s="1"/>
      <c r="N7" s="1"/>
      <c r="O7" s="1"/>
      <c r="P7" s="1"/>
      <c r="Q7" s="1"/>
      <c r="R7" s="1"/>
      <c r="S7" s="1"/>
      <c r="T7" s="1"/>
      <c r="U7" s="1"/>
      <c r="V7" s="1"/>
      <c r="W7" s="246"/>
      <c r="X7" s="246"/>
      <c r="Y7" s="246"/>
      <c r="Z7" s="246"/>
      <c r="AA7" s="246"/>
      <c r="AB7" s="246"/>
      <c r="AC7" s="246"/>
      <c r="AD7" s="246"/>
      <c r="AE7" s="246"/>
      <c r="AF7" s="246"/>
      <c r="AG7" s="246"/>
      <c r="AH7" s="246"/>
      <c r="AI7" s="246"/>
      <c r="AJ7" s="246"/>
      <c r="AK7" s="246"/>
    </row>
    <row r="8" spans="1:37" ht="13.5">
      <c r="A8" s="1"/>
      <c r="B8" s="1"/>
      <c r="C8" s="1"/>
      <c r="D8" s="1"/>
      <c r="E8" s="1"/>
      <c r="F8" s="1"/>
      <c r="G8" s="1"/>
      <c r="H8" s="1"/>
      <c r="I8" s="1"/>
      <c r="J8" s="1"/>
      <c r="K8" s="1"/>
      <c r="L8" s="1"/>
      <c r="M8" s="1"/>
      <c r="N8" s="1"/>
      <c r="O8" s="1"/>
      <c r="P8" s="1"/>
      <c r="Q8" s="1"/>
      <c r="R8" s="1"/>
      <c r="S8" s="1"/>
      <c r="T8" s="1"/>
      <c r="U8" s="1"/>
      <c r="V8" s="1"/>
      <c r="W8" s="246"/>
      <c r="X8" s="246"/>
      <c r="Y8" s="246"/>
      <c r="Z8" s="246"/>
      <c r="AA8" s="246"/>
      <c r="AB8" s="246"/>
      <c r="AC8" s="246"/>
      <c r="AD8" s="246"/>
      <c r="AE8" s="246"/>
      <c r="AF8" s="246"/>
      <c r="AG8" s="246"/>
      <c r="AH8" s="246"/>
      <c r="AI8" s="246"/>
      <c r="AJ8" s="246"/>
      <c r="AK8" s="246"/>
    </row>
    <row r="9" spans="1:37" ht="13.5">
      <c r="A9" s="1"/>
      <c r="B9" s="1"/>
      <c r="C9" s="1"/>
      <c r="D9" s="1"/>
      <c r="E9" s="1"/>
      <c r="F9" s="1"/>
      <c r="G9" s="1"/>
      <c r="H9" s="1"/>
      <c r="I9" s="1"/>
      <c r="J9" s="1"/>
      <c r="K9" s="1"/>
      <c r="L9" s="1"/>
      <c r="M9" s="1"/>
      <c r="N9" s="1"/>
      <c r="O9" s="1"/>
      <c r="P9" s="1"/>
      <c r="Q9" s="1"/>
      <c r="R9" s="1"/>
      <c r="S9" s="1"/>
      <c r="T9" s="1"/>
      <c r="U9" s="1"/>
      <c r="V9" s="1"/>
      <c r="W9" s="246"/>
      <c r="X9" s="246"/>
      <c r="Y9" s="246"/>
      <c r="Z9" s="246"/>
      <c r="AA9" s="246"/>
      <c r="AB9" s="246"/>
      <c r="AC9" s="246"/>
      <c r="AD9" s="246"/>
      <c r="AE9" s="246"/>
      <c r="AF9" s="246"/>
      <c r="AG9" s="246"/>
      <c r="AH9" s="246"/>
      <c r="AI9" s="246"/>
      <c r="AJ9" s="246"/>
      <c r="AK9" s="246"/>
    </row>
    <row r="10" spans="1:37" ht="13.5">
      <c r="A10" s="1"/>
      <c r="B10" s="1"/>
      <c r="C10" s="1"/>
      <c r="D10" s="1"/>
      <c r="E10" s="1"/>
      <c r="F10" s="1"/>
      <c r="G10" s="1"/>
      <c r="H10" s="1"/>
      <c r="I10" s="1"/>
      <c r="J10" s="1"/>
      <c r="K10" s="1"/>
      <c r="L10" s="1"/>
      <c r="M10" s="1"/>
      <c r="N10" s="1"/>
      <c r="O10" s="1"/>
      <c r="P10" s="1"/>
      <c r="Q10" s="1"/>
      <c r="R10" s="1"/>
      <c r="S10" s="1"/>
      <c r="T10" s="1"/>
      <c r="U10" s="1"/>
      <c r="V10" s="1"/>
      <c r="W10" s="246"/>
      <c r="X10" s="246"/>
      <c r="Y10" s="246"/>
      <c r="Z10" s="246"/>
      <c r="AA10" s="246"/>
      <c r="AB10" s="246"/>
      <c r="AC10" s="246"/>
      <c r="AD10" s="246"/>
      <c r="AE10" s="246"/>
      <c r="AF10" s="246"/>
      <c r="AG10" s="246"/>
      <c r="AH10" s="246"/>
      <c r="AI10" s="246"/>
      <c r="AJ10" s="246"/>
      <c r="AK10" s="246"/>
    </row>
    <row r="11" spans="1:37" ht="13.5">
      <c r="A11" s="1"/>
      <c r="B11" s="1"/>
      <c r="C11" s="1"/>
      <c r="D11" s="1"/>
      <c r="E11" s="1"/>
      <c r="F11" s="1"/>
      <c r="G11" s="1"/>
      <c r="H11" s="1"/>
      <c r="I11" s="1"/>
      <c r="J11" s="1"/>
      <c r="K11" s="1"/>
      <c r="L11" s="1"/>
      <c r="M11" s="1"/>
      <c r="N11" s="1"/>
      <c r="O11" s="1"/>
      <c r="P11" s="1"/>
      <c r="Q11" s="1"/>
      <c r="R11" s="1"/>
      <c r="S11" s="1"/>
      <c r="T11" s="1"/>
      <c r="U11" s="1"/>
      <c r="V11" s="1"/>
      <c r="W11" s="246"/>
      <c r="X11" s="246"/>
      <c r="Y11" s="246"/>
      <c r="Z11" s="246"/>
      <c r="AA11" s="246"/>
      <c r="AB11" s="246"/>
      <c r="AC11" s="246"/>
      <c r="AD11" s="246"/>
      <c r="AE11" s="246"/>
      <c r="AF11" s="246"/>
      <c r="AG11" s="246"/>
      <c r="AH11" s="246"/>
      <c r="AI11" s="246"/>
      <c r="AJ11" s="246"/>
      <c r="AK11" s="246"/>
    </row>
    <row r="12" spans="1:37" ht="13.5">
      <c r="A12" s="1"/>
      <c r="B12" s="1"/>
      <c r="C12" s="1"/>
      <c r="D12" s="1"/>
      <c r="E12" s="1"/>
      <c r="F12" s="1"/>
      <c r="G12" s="1"/>
      <c r="H12" s="1"/>
      <c r="I12" s="1"/>
      <c r="J12" s="1"/>
      <c r="K12" s="1"/>
      <c r="L12" s="1"/>
      <c r="M12" s="1"/>
      <c r="N12" s="1"/>
      <c r="O12" s="1"/>
      <c r="P12" s="1"/>
      <c r="Q12" s="1"/>
      <c r="R12" s="1"/>
      <c r="S12" s="1"/>
      <c r="T12" s="1"/>
      <c r="U12" s="1"/>
      <c r="V12" s="1"/>
      <c r="W12" s="246"/>
      <c r="X12" s="246"/>
      <c r="Y12" s="246"/>
      <c r="Z12" s="246"/>
      <c r="AA12" s="246"/>
      <c r="AB12" s="246"/>
      <c r="AC12" s="246"/>
      <c r="AD12" s="246"/>
      <c r="AE12" s="246"/>
      <c r="AF12" s="246"/>
      <c r="AG12" s="246"/>
      <c r="AH12" s="246"/>
      <c r="AI12" s="246"/>
      <c r="AJ12" s="246"/>
      <c r="AK12" s="246"/>
    </row>
    <row r="13" spans="1:37" ht="13.5">
      <c r="A13" s="1"/>
      <c r="B13" s="1"/>
      <c r="C13" s="1"/>
      <c r="D13" s="1"/>
      <c r="E13" s="1"/>
      <c r="F13" s="1"/>
      <c r="G13" s="1"/>
      <c r="H13" s="1"/>
      <c r="I13" s="1"/>
      <c r="J13" s="1"/>
      <c r="K13" s="1"/>
      <c r="L13" s="1"/>
      <c r="M13" s="1"/>
      <c r="N13" s="1"/>
      <c r="O13" s="1"/>
      <c r="P13" s="1"/>
      <c r="Q13" s="1"/>
      <c r="R13" s="1"/>
      <c r="S13" s="1"/>
      <c r="T13" s="1"/>
      <c r="U13" s="1"/>
      <c r="V13" s="1"/>
      <c r="W13" s="246"/>
      <c r="X13" s="246"/>
      <c r="Y13" s="246"/>
      <c r="Z13" s="246"/>
      <c r="AA13" s="246"/>
      <c r="AB13" s="246"/>
      <c r="AC13" s="246"/>
      <c r="AD13" s="246"/>
      <c r="AE13" s="246"/>
      <c r="AF13" s="246"/>
      <c r="AG13" s="246"/>
      <c r="AH13" s="246"/>
      <c r="AI13" s="246"/>
      <c r="AJ13" s="246"/>
      <c r="AK13" s="246"/>
    </row>
    <row r="14" spans="1:37" ht="13.5">
      <c r="A14" s="1"/>
      <c r="B14" s="1"/>
      <c r="C14" s="1"/>
      <c r="D14" s="1"/>
      <c r="E14" s="1"/>
      <c r="F14" s="1"/>
      <c r="G14" s="1"/>
      <c r="H14" s="1"/>
      <c r="I14" s="1"/>
      <c r="J14" s="1"/>
      <c r="K14" s="1"/>
      <c r="L14" s="1"/>
      <c r="M14" s="1"/>
      <c r="N14" s="1"/>
      <c r="O14" s="1"/>
      <c r="P14" s="1"/>
      <c r="Q14" s="1"/>
      <c r="R14" s="1"/>
      <c r="S14" s="1"/>
      <c r="T14" s="1"/>
      <c r="U14" s="1"/>
      <c r="V14" s="1"/>
      <c r="W14" s="246"/>
      <c r="X14" s="246"/>
      <c r="Y14" s="246"/>
      <c r="Z14" s="246"/>
      <c r="AA14" s="246"/>
      <c r="AB14" s="246"/>
      <c r="AC14" s="246"/>
      <c r="AD14" s="246"/>
      <c r="AE14" s="246"/>
      <c r="AF14" s="246"/>
      <c r="AG14" s="246"/>
      <c r="AH14" s="246"/>
      <c r="AI14" s="246"/>
      <c r="AJ14" s="246"/>
      <c r="AK14" s="246"/>
    </row>
    <row r="15" spans="1:37" ht="13.5">
      <c r="A15" s="1"/>
      <c r="B15" s="1"/>
      <c r="C15" s="1"/>
      <c r="D15" s="1"/>
      <c r="E15" s="1"/>
      <c r="F15" s="1"/>
      <c r="G15" s="1"/>
      <c r="H15" s="1"/>
      <c r="I15" s="1"/>
      <c r="J15" s="1"/>
      <c r="K15" s="1"/>
      <c r="L15" s="1"/>
      <c r="M15" s="1"/>
      <c r="N15" s="1"/>
      <c r="O15" s="1"/>
      <c r="P15" s="1"/>
      <c r="Q15" s="1"/>
      <c r="R15" s="1"/>
      <c r="S15" s="1"/>
      <c r="T15" s="1"/>
      <c r="U15" s="1"/>
      <c r="V15" s="1"/>
      <c r="W15" s="246"/>
      <c r="X15" s="246"/>
      <c r="Y15" s="246"/>
      <c r="Z15" s="246"/>
      <c r="AA15" s="246"/>
      <c r="AB15" s="246"/>
      <c r="AC15" s="246"/>
      <c r="AD15" s="246"/>
      <c r="AE15" s="246"/>
      <c r="AF15" s="246"/>
      <c r="AG15" s="246"/>
      <c r="AH15" s="246"/>
      <c r="AI15" s="246"/>
      <c r="AJ15" s="246"/>
      <c r="AK15" s="246"/>
    </row>
    <row r="16" spans="1:37" ht="13.5">
      <c r="A16" s="1"/>
      <c r="B16" s="1"/>
      <c r="C16" s="1"/>
      <c r="D16" s="1"/>
      <c r="E16" s="1"/>
      <c r="F16" s="1"/>
      <c r="G16" s="1"/>
      <c r="H16" s="1"/>
      <c r="I16" s="1"/>
      <c r="J16" s="1"/>
      <c r="K16" s="1"/>
      <c r="L16" s="1"/>
      <c r="M16" s="1"/>
      <c r="N16" s="1"/>
      <c r="O16" s="1"/>
      <c r="P16" s="1"/>
      <c r="Q16" s="1"/>
      <c r="R16" s="1"/>
      <c r="S16" s="1"/>
      <c r="T16" s="1"/>
      <c r="U16" s="1"/>
      <c r="V16" s="1"/>
      <c r="W16" s="246"/>
      <c r="X16" s="246"/>
      <c r="Y16" s="246"/>
      <c r="Z16" s="246"/>
      <c r="AA16" s="246"/>
      <c r="AB16" s="246"/>
      <c r="AC16" s="246"/>
      <c r="AD16" s="246"/>
      <c r="AE16" s="246"/>
      <c r="AF16" s="246"/>
      <c r="AG16" s="246"/>
      <c r="AH16" s="246"/>
      <c r="AI16" s="246"/>
      <c r="AJ16" s="246"/>
      <c r="AK16" s="246"/>
    </row>
    <row r="17" spans="1:37" ht="13.5">
      <c r="A17" s="1"/>
      <c r="B17" s="1"/>
      <c r="C17" s="1"/>
      <c r="D17" s="1"/>
      <c r="E17" s="1"/>
      <c r="F17" s="1"/>
      <c r="G17" s="1"/>
      <c r="H17" s="1"/>
      <c r="I17" s="1"/>
      <c r="J17" s="1"/>
      <c r="K17" s="1"/>
      <c r="L17" s="1"/>
      <c r="M17" s="1"/>
      <c r="N17" s="1"/>
      <c r="O17" s="1"/>
      <c r="P17" s="1"/>
      <c r="Q17" s="1"/>
      <c r="R17" s="1"/>
      <c r="S17" s="1"/>
      <c r="T17" s="1"/>
      <c r="U17" s="1"/>
      <c r="V17" s="1"/>
      <c r="W17" s="246"/>
      <c r="X17" s="246"/>
      <c r="Y17" s="246"/>
      <c r="Z17" s="246"/>
      <c r="AA17" s="246"/>
      <c r="AB17" s="246"/>
      <c r="AC17" s="246"/>
      <c r="AD17" s="246"/>
      <c r="AE17" s="246"/>
      <c r="AF17" s="246"/>
      <c r="AG17" s="246"/>
      <c r="AH17" s="246"/>
      <c r="AI17" s="246"/>
      <c r="AJ17" s="246"/>
      <c r="AK17" s="246"/>
    </row>
    <row r="18" spans="1:37" ht="13.5">
      <c r="A18" s="1"/>
      <c r="B18" s="1"/>
      <c r="C18" s="1"/>
      <c r="D18" s="1"/>
      <c r="E18" s="1"/>
      <c r="F18" s="1"/>
      <c r="G18" s="1"/>
      <c r="H18" s="1"/>
      <c r="I18" s="1"/>
      <c r="J18" s="1"/>
      <c r="K18" s="1"/>
      <c r="L18" s="1"/>
      <c r="M18" s="1"/>
      <c r="N18" s="1"/>
      <c r="O18" s="1"/>
      <c r="P18" s="1"/>
      <c r="Q18" s="1"/>
      <c r="R18" s="1"/>
      <c r="S18" s="1"/>
      <c r="T18" s="1"/>
      <c r="U18" s="1"/>
      <c r="V18" s="1"/>
      <c r="W18" s="246"/>
      <c r="X18" s="246"/>
      <c r="Y18" s="246"/>
      <c r="Z18" s="246"/>
      <c r="AA18" s="246"/>
      <c r="AB18" s="246"/>
      <c r="AC18" s="246"/>
      <c r="AD18" s="246"/>
      <c r="AE18" s="246"/>
      <c r="AF18" s="246"/>
      <c r="AG18" s="246"/>
      <c r="AH18" s="246"/>
      <c r="AI18" s="246"/>
      <c r="AJ18" s="246"/>
      <c r="AK18" s="246"/>
    </row>
    <row r="19" spans="1:37" ht="13.5">
      <c r="A19" s="1"/>
      <c r="B19" s="1"/>
      <c r="C19" s="1"/>
      <c r="D19" s="1"/>
      <c r="E19" s="1"/>
      <c r="F19" s="1"/>
      <c r="G19" s="1"/>
      <c r="H19" s="1"/>
      <c r="I19" s="1"/>
      <c r="J19" s="1"/>
      <c r="K19" s="1"/>
      <c r="L19" s="1"/>
      <c r="M19" s="1"/>
      <c r="N19" s="1"/>
      <c r="O19" s="1"/>
      <c r="P19" s="1"/>
      <c r="Q19" s="1"/>
      <c r="R19" s="1"/>
      <c r="S19" s="1"/>
      <c r="T19" s="1"/>
      <c r="U19" s="1"/>
      <c r="V19" s="1"/>
      <c r="W19" s="246"/>
      <c r="X19" s="246"/>
      <c r="Y19" s="246"/>
      <c r="Z19" s="246"/>
      <c r="AA19" s="246"/>
      <c r="AB19" s="246"/>
      <c r="AC19" s="246"/>
      <c r="AD19" s="246"/>
      <c r="AE19" s="246"/>
      <c r="AF19" s="246"/>
      <c r="AG19" s="246"/>
      <c r="AH19" s="246"/>
      <c r="AI19" s="246"/>
      <c r="AJ19" s="246"/>
      <c r="AK19" s="246"/>
    </row>
    <row r="20" spans="1:37" ht="13.5">
      <c r="A20" s="1"/>
      <c r="B20" s="1"/>
      <c r="C20" s="1"/>
      <c r="D20" s="1"/>
      <c r="E20" s="1"/>
      <c r="F20" s="1"/>
      <c r="G20" s="1"/>
      <c r="H20" s="1"/>
      <c r="I20" s="1"/>
      <c r="J20" s="1"/>
      <c r="K20" s="1"/>
      <c r="L20" s="1"/>
      <c r="M20" s="1"/>
      <c r="N20" s="1"/>
      <c r="O20" s="1"/>
      <c r="P20" s="1"/>
      <c r="Q20" s="1"/>
      <c r="R20" s="1"/>
      <c r="S20" s="1"/>
      <c r="T20" s="1"/>
      <c r="U20" s="1"/>
      <c r="V20" s="1"/>
      <c r="W20" s="246"/>
      <c r="X20" s="246"/>
      <c r="Y20" s="246"/>
      <c r="Z20" s="246"/>
      <c r="AA20" s="246"/>
      <c r="AB20" s="246"/>
      <c r="AC20" s="246"/>
      <c r="AD20" s="246"/>
      <c r="AE20" s="246"/>
      <c r="AF20" s="246"/>
      <c r="AG20" s="246"/>
      <c r="AH20" s="246"/>
      <c r="AI20" s="246"/>
      <c r="AJ20" s="246"/>
      <c r="AK20" s="246"/>
    </row>
    <row r="21" spans="1:37" ht="13.5">
      <c r="A21" s="1"/>
      <c r="B21" s="1"/>
      <c r="C21" s="1"/>
      <c r="D21" s="1"/>
      <c r="E21" s="1"/>
      <c r="F21" s="1"/>
      <c r="G21" s="1"/>
      <c r="H21" s="1"/>
      <c r="I21" s="1"/>
      <c r="J21" s="1"/>
      <c r="K21" s="1"/>
      <c r="L21" s="1"/>
      <c r="M21" s="1"/>
      <c r="N21" s="1"/>
      <c r="O21" s="1"/>
      <c r="P21" s="1"/>
      <c r="Q21" s="1"/>
      <c r="R21" s="1"/>
      <c r="S21" s="1"/>
      <c r="T21" s="1"/>
      <c r="U21" s="1"/>
      <c r="V21" s="1"/>
      <c r="W21" s="246"/>
      <c r="X21" s="246"/>
      <c r="Y21" s="246"/>
      <c r="Z21" s="246"/>
      <c r="AA21" s="246"/>
      <c r="AB21" s="246"/>
      <c r="AC21" s="246"/>
      <c r="AD21" s="246"/>
      <c r="AE21" s="246"/>
      <c r="AF21" s="246"/>
      <c r="AG21" s="246"/>
      <c r="AH21" s="246"/>
      <c r="AI21" s="246"/>
      <c r="AJ21" s="246"/>
      <c r="AK21" s="246"/>
    </row>
    <row r="22" spans="1:37" ht="13.5">
      <c r="A22" s="1"/>
      <c r="B22" s="1"/>
      <c r="C22" s="1"/>
      <c r="D22" s="1"/>
      <c r="E22" s="1"/>
      <c r="F22" s="1"/>
      <c r="G22" s="1"/>
      <c r="H22" s="1"/>
      <c r="I22" s="1"/>
      <c r="J22" s="1"/>
      <c r="K22" s="1"/>
      <c r="L22" s="1"/>
      <c r="M22" s="1"/>
      <c r="N22" s="1"/>
      <c r="O22" s="1"/>
      <c r="P22" s="1"/>
      <c r="Q22" s="1"/>
      <c r="R22" s="1"/>
      <c r="S22" s="1"/>
      <c r="T22" s="1"/>
      <c r="U22" s="1"/>
      <c r="V22" s="1"/>
      <c r="W22" s="246"/>
      <c r="X22" s="246"/>
      <c r="Y22" s="246"/>
      <c r="Z22" s="246"/>
      <c r="AA22" s="246"/>
      <c r="AB22" s="246"/>
      <c r="AC22" s="246"/>
      <c r="AD22" s="246"/>
      <c r="AE22" s="246"/>
      <c r="AF22" s="246"/>
      <c r="AG22" s="246"/>
      <c r="AH22" s="246"/>
      <c r="AI22" s="246"/>
      <c r="AJ22" s="246"/>
      <c r="AK22" s="246"/>
    </row>
    <row r="23" spans="1:37" ht="13.5">
      <c r="A23" s="1"/>
      <c r="B23" s="1"/>
      <c r="C23" s="1"/>
      <c r="D23" s="1"/>
      <c r="E23" s="1"/>
      <c r="F23" s="1"/>
      <c r="G23" s="1"/>
      <c r="H23" s="1"/>
      <c r="I23" s="1"/>
      <c r="J23" s="1"/>
      <c r="K23" s="1"/>
      <c r="L23" s="1"/>
      <c r="M23" s="1"/>
      <c r="N23" s="1"/>
      <c r="O23" s="1"/>
      <c r="P23" s="1"/>
      <c r="Q23" s="1"/>
      <c r="R23" s="1"/>
      <c r="S23" s="1"/>
      <c r="T23" s="1"/>
      <c r="U23" s="1"/>
      <c r="V23" s="1"/>
      <c r="W23" s="246"/>
      <c r="X23" s="246"/>
      <c r="Y23" s="246"/>
      <c r="Z23" s="246"/>
      <c r="AA23" s="246"/>
      <c r="AB23" s="246"/>
      <c r="AC23" s="246"/>
      <c r="AD23" s="246"/>
      <c r="AE23" s="246"/>
      <c r="AF23" s="246"/>
      <c r="AG23" s="246"/>
      <c r="AH23" s="246"/>
      <c r="AI23" s="246"/>
      <c r="AJ23" s="246"/>
      <c r="AK23" s="246"/>
    </row>
    <row r="24" spans="1:37" ht="13.5">
      <c r="A24" s="1"/>
      <c r="B24" s="1"/>
      <c r="C24" s="1"/>
      <c r="D24" s="1"/>
      <c r="E24" s="1"/>
      <c r="F24" s="1"/>
      <c r="G24" s="1"/>
      <c r="H24" s="1"/>
      <c r="I24" s="1"/>
      <c r="J24" s="1"/>
      <c r="K24" s="1"/>
      <c r="L24" s="1"/>
      <c r="M24" s="1"/>
      <c r="N24" s="1"/>
      <c r="O24" s="1"/>
      <c r="P24" s="1"/>
      <c r="Q24" s="1"/>
      <c r="R24" s="1"/>
      <c r="S24" s="1"/>
      <c r="T24" s="1"/>
      <c r="U24" s="1"/>
      <c r="V24" s="1"/>
      <c r="W24" s="246"/>
      <c r="X24" s="246"/>
      <c r="Y24" s="246"/>
      <c r="Z24" s="246"/>
      <c r="AA24" s="246"/>
      <c r="AB24" s="246"/>
      <c r="AC24" s="246"/>
      <c r="AD24" s="246"/>
      <c r="AE24" s="246"/>
      <c r="AF24" s="246"/>
      <c r="AG24" s="246"/>
      <c r="AH24" s="246"/>
      <c r="AI24" s="246"/>
      <c r="AJ24" s="246"/>
      <c r="AK24" s="246"/>
    </row>
    <row r="25" spans="1:37" ht="13.5">
      <c r="A25" s="1"/>
      <c r="B25" s="1"/>
      <c r="C25" s="1"/>
      <c r="D25" s="1"/>
      <c r="E25" s="1"/>
      <c r="F25" s="1"/>
      <c r="G25" s="1"/>
      <c r="H25" s="1"/>
      <c r="I25" s="1"/>
      <c r="J25" s="1"/>
      <c r="K25" s="1"/>
      <c r="L25" s="1"/>
      <c r="M25" s="1"/>
      <c r="N25" s="1"/>
      <c r="O25" s="1"/>
      <c r="P25" s="1"/>
      <c r="Q25" s="1"/>
      <c r="R25" s="1"/>
      <c r="S25" s="1"/>
      <c r="T25" s="1"/>
      <c r="U25" s="1"/>
      <c r="V25" s="1"/>
      <c r="W25" s="246"/>
      <c r="X25" s="246"/>
      <c r="Y25" s="246"/>
      <c r="Z25" s="246"/>
      <c r="AA25" s="246"/>
      <c r="AB25" s="246"/>
      <c r="AC25" s="246"/>
      <c r="AD25" s="246"/>
      <c r="AE25" s="246"/>
      <c r="AF25" s="246"/>
      <c r="AG25" s="246"/>
      <c r="AH25" s="246"/>
      <c r="AI25" s="246"/>
      <c r="AJ25" s="246"/>
      <c r="AK25" s="246"/>
    </row>
    <row r="26" spans="1:37" ht="13.5">
      <c r="A26" s="1"/>
      <c r="B26" s="1"/>
      <c r="C26" s="1"/>
      <c r="D26" s="1"/>
      <c r="E26" s="1"/>
      <c r="F26" s="1"/>
      <c r="G26" s="1"/>
      <c r="H26" s="1"/>
      <c r="I26" s="1"/>
      <c r="J26" s="1"/>
      <c r="K26" s="1"/>
      <c r="L26" s="1"/>
      <c r="M26" s="1"/>
      <c r="N26" s="1"/>
      <c r="O26" s="1"/>
      <c r="P26" s="1"/>
      <c r="Q26" s="1"/>
      <c r="R26" s="1"/>
      <c r="S26" s="1"/>
      <c r="T26" s="1"/>
      <c r="U26" s="1"/>
      <c r="V26" s="1"/>
      <c r="W26" s="246"/>
      <c r="X26" s="246"/>
      <c r="Y26" s="246"/>
      <c r="Z26" s="246"/>
      <c r="AA26" s="246"/>
      <c r="AB26" s="246"/>
      <c r="AC26" s="246"/>
      <c r="AD26" s="246"/>
      <c r="AE26" s="246"/>
      <c r="AF26" s="246"/>
      <c r="AG26" s="246"/>
      <c r="AH26" s="246"/>
      <c r="AI26" s="246"/>
      <c r="AJ26" s="246"/>
      <c r="AK26" s="246"/>
    </row>
    <row r="27" spans="1:37" ht="13.5">
      <c r="A27" s="1"/>
      <c r="B27" s="1"/>
      <c r="C27" s="1"/>
      <c r="D27" s="1"/>
      <c r="E27" s="1"/>
      <c r="F27" s="1"/>
      <c r="G27" s="1"/>
      <c r="H27" s="1"/>
      <c r="I27" s="1"/>
      <c r="J27" s="1"/>
      <c r="K27" s="1"/>
      <c r="L27" s="1"/>
      <c r="M27" s="1"/>
      <c r="N27" s="1"/>
      <c r="O27" s="1"/>
      <c r="P27" s="1"/>
      <c r="Q27" s="1"/>
      <c r="R27" s="1"/>
      <c r="S27" s="1"/>
      <c r="T27" s="1"/>
      <c r="U27" s="1"/>
      <c r="V27" s="1"/>
      <c r="W27" s="246"/>
      <c r="X27" s="246"/>
      <c r="Y27" s="246"/>
      <c r="Z27" s="246"/>
      <c r="AA27" s="246"/>
      <c r="AB27" s="246"/>
      <c r="AC27" s="246"/>
      <c r="AD27" s="246"/>
      <c r="AE27" s="246"/>
      <c r="AF27" s="246"/>
      <c r="AG27" s="246"/>
      <c r="AH27" s="246"/>
      <c r="AI27" s="246"/>
      <c r="AJ27" s="246"/>
      <c r="AK27" s="246"/>
    </row>
    <row r="28" spans="1:37" ht="13.5">
      <c r="A28" s="1"/>
      <c r="B28" s="1"/>
      <c r="C28" s="1"/>
      <c r="D28" s="1"/>
      <c r="E28" s="1"/>
      <c r="F28" s="1"/>
      <c r="G28" s="1"/>
      <c r="H28" s="1"/>
      <c r="I28" s="1"/>
      <c r="J28" s="1"/>
      <c r="K28" s="1"/>
      <c r="L28" s="1"/>
      <c r="M28" s="1"/>
      <c r="N28" s="1"/>
      <c r="O28" s="1"/>
      <c r="P28" s="1"/>
      <c r="Q28" s="1"/>
      <c r="R28" s="1"/>
      <c r="S28" s="1"/>
      <c r="T28" s="1"/>
      <c r="U28" s="1"/>
      <c r="V28" s="1"/>
      <c r="W28" s="246"/>
      <c r="X28" s="246"/>
      <c r="Y28" s="246"/>
      <c r="Z28" s="246"/>
      <c r="AA28" s="246"/>
      <c r="AB28" s="246"/>
      <c r="AC28" s="246"/>
      <c r="AD28" s="246"/>
      <c r="AE28" s="246"/>
      <c r="AF28" s="246"/>
      <c r="AG28" s="246"/>
      <c r="AH28" s="246"/>
      <c r="AI28" s="246"/>
      <c r="AJ28" s="246"/>
      <c r="AK28" s="246"/>
    </row>
    <row r="29" spans="1:37" ht="13.5">
      <c r="A29" s="1"/>
      <c r="B29" s="1"/>
      <c r="C29" s="1"/>
      <c r="D29" s="1"/>
      <c r="E29" s="1"/>
      <c r="F29" s="1"/>
      <c r="G29" s="1"/>
      <c r="H29" s="1"/>
      <c r="I29" s="1"/>
      <c r="J29" s="1"/>
      <c r="K29" s="1"/>
      <c r="L29" s="1"/>
      <c r="M29" s="1"/>
      <c r="N29" s="1"/>
      <c r="O29" s="1"/>
      <c r="P29" s="1"/>
      <c r="Q29" s="1"/>
      <c r="R29" s="1"/>
      <c r="S29" s="1"/>
      <c r="T29" s="1"/>
      <c r="U29" s="1"/>
      <c r="V29" s="1"/>
      <c r="W29" s="246"/>
      <c r="X29" s="246"/>
      <c r="Y29" s="246"/>
      <c r="Z29" s="246"/>
      <c r="AA29" s="246"/>
      <c r="AB29" s="246"/>
      <c r="AC29" s="246"/>
      <c r="AD29" s="246"/>
      <c r="AE29" s="246"/>
      <c r="AF29" s="246"/>
      <c r="AG29" s="246"/>
      <c r="AH29" s="246"/>
      <c r="AI29" s="246"/>
      <c r="AJ29" s="246"/>
      <c r="AK29" s="246"/>
    </row>
    <row r="30" spans="1:37" ht="13.5">
      <c r="A30" s="1"/>
      <c r="B30" s="1"/>
      <c r="C30" s="1"/>
      <c r="D30" s="1"/>
      <c r="E30" s="1"/>
      <c r="F30" s="1"/>
      <c r="G30" s="1"/>
      <c r="H30" s="1"/>
      <c r="I30" s="1"/>
      <c r="J30" s="1"/>
      <c r="K30" s="1"/>
      <c r="L30" s="1"/>
      <c r="M30" s="1"/>
      <c r="N30" s="1"/>
      <c r="O30" s="1"/>
      <c r="P30" s="1"/>
      <c r="Q30" s="1"/>
      <c r="R30" s="1"/>
      <c r="S30" s="1"/>
      <c r="T30" s="1"/>
      <c r="U30" s="1"/>
      <c r="V30" s="1"/>
      <c r="W30" s="246"/>
      <c r="X30" s="246"/>
      <c r="Y30" s="246"/>
      <c r="Z30" s="246"/>
      <c r="AA30" s="246"/>
      <c r="AB30" s="246"/>
      <c r="AC30" s="246"/>
      <c r="AD30" s="246"/>
      <c r="AE30" s="246"/>
      <c r="AF30" s="246"/>
      <c r="AG30" s="246"/>
      <c r="AH30" s="246"/>
      <c r="AI30" s="246"/>
      <c r="AJ30" s="246"/>
      <c r="AK30" s="246"/>
    </row>
    <row r="31" spans="1:37" ht="13.5">
      <c r="A31" s="1"/>
      <c r="B31" s="1"/>
      <c r="C31" s="1"/>
      <c r="D31" s="1"/>
      <c r="E31" s="1"/>
      <c r="F31" s="1"/>
      <c r="G31" s="1"/>
      <c r="H31" s="1"/>
      <c r="I31" s="1"/>
      <c r="J31" s="1"/>
      <c r="K31" s="1"/>
      <c r="L31" s="1"/>
      <c r="M31" s="1"/>
      <c r="N31" s="1"/>
      <c r="O31" s="1"/>
      <c r="P31" s="1"/>
      <c r="Q31" s="1"/>
      <c r="R31" s="1"/>
      <c r="S31" s="1"/>
      <c r="T31" s="1"/>
      <c r="U31" s="1"/>
      <c r="V31" s="1"/>
      <c r="W31" s="246"/>
      <c r="X31" s="246"/>
      <c r="Y31" s="246"/>
      <c r="Z31" s="246"/>
      <c r="AA31" s="246"/>
      <c r="AB31" s="246"/>
      <c r="AC31" s="246"/>
      <c r="AD31" s="246"/>
      <c r="AE31" s="246"/>
      <c r="AF31" s="246"/>
      <c r="AG31" s="246"/>
      <c r="AH31" s="246"/>
      <c r="AI31" s="246"/>
      <c r="AJ31" s="246"/>
      <c r="AK31" s="246"/>
    </row>
    <row r="32" spans="1:37" ht="13.5">
      <c r="A32" s="1"/>
      <c r="B32" s="1"/>
      <c r="C32" s="1"/>
      <c r="D32" s="1"/>
      <c r="E32" s="1"/>
      <c r="F32" s="1"/>
      <c r="G32" s="1"/>
      <c r="H32" s="1"/>
      <c r="I32" s="1"/>
      <c r="J32" s="1"/>
      <c r="K32" s="1"/>
      <c r="L32" s="1"/>
      <c r="M32" s="1"/>
      <c r="N32" s="1"/>
      <c r="O32" s="1"/>
      <c r="P32" s="1"/>
      <c r="Q32" s="1"/>
      <c r="R32" s="1"/>
      <c r="S32" s="1"/>
      <c r="T32" s="1"/>
      <c r="U32" s="1"/>
      <c r="V32" s="1"/>
      <c r="W32" s="246"/>
      <c r="X32" s="246"/>
      <c r="Y32" s="246"/>
      <c r="Z32" s="246"/>
      <c r="AA32" s="246"/>
      <c r="AB32" s="246"/>
      <c r="AC32" s="246"/>
      <c r="AD32" s="246"/>
      <c r="AE32" s="246"/>
      <c r="AF32" s="246"/>
      <c r="AG32" s="246"/>
      <c r="AH32" s="246"/>
      <c r="AI32" s="246"/>
      <c r="AJ32" s="246"/>
      <c r="AK32" s="246"/>
    </row>
    <row r="33" spans="1:37" ht="13.5">
      <c r="A33" s="1"/>
      <c r="B33" s="1"/>
      <c r="C33" s="1"/>
      <c r="D33" s="1"/>
      <c r="E33" s="1"/>
      <c r="F33" s="1"/>
      <c r="G33" s="1"/>
      <c r="H33" s="1"/>
      <c r="I33" s="1"/>
      <c r="J33" s="1"/>
      <c r="K33" s="1"/>
      <c r="L33" s="1"/>
      <c r="M33" s="1"/>
      <c r="N33" s="1"/>
      <c r="O33" s="1"/>
      <c r="P33" s="1"/>
      <c r="Q33" s="1"/>
      <c r="R33" s="1"/>
      <c r="S33" s="1"/>
      <c r="T33" s="1"/>
      <c r="U33" s="1"/>
      <c r="V33" s="1"/>
      <c r="W33" s="246"/>
      <c r="X33" s="246"/>
      <c r="Y33" s="246"/>
      <c r="Z33" s="246"/>
      <c r="AA33" s="246"/>
      <c r="AB33" s="246"/>
      <c r="AC33" s="246"/>
      <c r="AD33" s="246"/>
      <c r="AE33" s="246"/>
      <c r="AF33" s="246"/>
      <c r="AG33" s="246"/>
      <c r="AH33" s="246"/>
      <c r="AI33" s="246"/>
      <c r="AJ33" s="246"/>
      <c r="AK33" s="246"/>
    </row>
    <row r="34" spans="1:37" ht="13.5">
      <c r="A34" s="1"/>
      <c r="B34" s="1"/>
      <c r="C34" s="1"/>
      <c r="D34" s="1"/>
      <c r="E34" s="1"/>
      <c r="F34" s="1"/>
      <c r="G34" s="1"/>
      <c r="H34" s="1"/>
      <c r="I34" s="1"/>
      <c r="J34" s="1"/>
      <c r="K34" s="1"/>
      <c r="L34" s="1"/>
      <c r="M34" s="1"/>
      <c r="N34" s="1"/>
      <c r="O34" s="1"/>
      <c r="P34" s="1"/>
      <c r="Q34" s="1"/>
      <c r="R34" s="1"/>
      <c r="S34" s="1"/>
      <c r="T34" s="1"/>
      <c r="U34" s="1"/>
      <c r="V34" s="1"/>
      <c r="W34" s="246"/>
      <c r="X34" s="246"/>
      <c r="Y34" s="246"/>
      <c r="Z34" s="246"/>
      <c r="AA34" s="246"/>
      <c r="AB34" s="246"/>
      <c r="AC34" s="246"/>
      <c r="AD34" s="246"/>
      <c r="AE34" s="246"/>
      <c r="AF34" s="246"/>
      <c r="AG34" s="246"/>
      <c r="AH34" s="246"/>
      <c r="AI34" s="246"/>
      <c r="AJ34" s="246"/>
      <c r="AK34" s="246"/>
    </row>
    <row r="35" spans="1:37" ht="13.5">
      <c r="A35" s="1"/>
      <c r="B35" s="1"/>
      <c r="C35" s="1"/>
      <c r="D35" s="1"/>
      <c r="E35" s="1"/>
      <c r="F35" s="1"/>
      <c r="G35" s="1"/>
      <c r="H35" s="1"/>
      <c r="I35" s="1"/>
      <c r="J35" s="1"/>
      <c r="K35" s="1"/>
      <c r="L35" s="1"/>
      <c r="M35" s="1"/>
      <c r="N35" s="1"/>
      <c r="O35" s="1"/>
      <c r="P35" s="1"/>
      <c r="Q35" s="1"/>
      <c r="R35" s="1"/>
      <c r="S35" s="1"/>
      <c r="T35" s="1"/>
      <c r="U35" s="1"/>
      <c r="V35" s="1"/>
      <c r="W35" s="246"/>
      <c r="X35" s="246"/>
      <c r="Y35" s="246"/>
      <c r="Z35" s="246"/>
      <c r="AA35" s="246"/>
      <c r="AB35" s="246"/>
      <c r="AC35" s="246"/>
      <c r="AD35" s="246"/>
      <c r="AE35" s="246"/>
      <c r="AF35" s="246"/>
      <c r="AG35" s="246"/>
      <c r="AH35" s="246"/>
      <c r="AI35" s="246"/>
      <c r="AJ35" s="246"/>
      <c r="AK35" s="246"/>
    </row>
    <row r="36" spans="1:37" ht="13.5">
      <c r="A36" s="1"/>
      <c r="B36" s="1"/>
      <c r="C36" s="1"/>
      <c r="D36" s="1"/>
      <c r="E36" s="1"/>
      <c r="F36" s="1"/>
      <c r="G36" s="1"/>
      <c r="H36" s="1"/>
      <c r="I36" s="1"/>
      <c r="J36" s="1"/>
      <c r="K36" s="1"/>
      <c r="L36" s="1"/>
      <c r="M36" s="1"/>
      <c r="N36" s="1"/>
      <c r="O36" s="1"/>
      <c r="P36" s="1"/>
      <c r="Q36" s="1"/>
      <c r="R36" s="1"/>
      <c r="S36" s="1"/>
      <c r="T36" s="1"/>
      <c r="U36" s="1"/>
      <c r="V36" s="1"/>
      <c r="W36" s="246"/>
      <c r="X36" s="246"/>
      <c r="Y36" s="246"/>
      <c r="Z36" s="246"/>
      <c r="AA36" s="246"/>
      <c r="AB36" s="246"/>
      <c r="AC36" s="246"/>
      <c r="AD36" s="246"/>
      <c r="AE36" s="246"/>
      <c r="AF36" s="246"/>
      <c r="AG36" s="246"/>
      <c r="AH36" s="246"/>
      <c r="AI36" s="246"/>
      <c r="AJ36" s="246"/>
      <c r="AK36" s="246"/>
    </row>
    <row r="37" spans="1:37" ht="13.5">
      <c r="A37" s="1"/>
      <c r="B37" s="1"/>
      <c r="C37" s="1"/>
      <c r="D37" s="1"/>
      <c r="E37" s="1"/>
      <c r="F37" s="1"/>
      <c r="G37" s="1"/>
      <c r="H37" s="1"/>
      <c r="I37" s="1"/>
      <c r="J37" s="1"/>
      <c r="K37" s="1"/>
      <c r="L37" s="1"/>
      <c r="M37" s="1"/>
      <c r="N37" s="1"/>
      <c r="O37" s="1"/>
      <c r="P37" s="1"/>
      <c r="Q37" s="1"/>
      <c r="R37" s="1"/>
      <c r="S37" s="1"/>
      <c r="T37" s="1"/>
      <c r="U37" s="1"/>
      <c r="V37" s="1"/>
      <c r="W37" s="246"/>
      <c r="X37" s="246"/>
      <c r="Y37" s="246"/>
      <c r="Z37" s="246"/>
      <c r="AA37" s="246"/>
      <c r="AB37" s="246"/>
      <c r="AC37" s="246"/>
      <c r="AD37" s="246"/>
      <c r="AE37" s="246"/>
      <c r="AF37" s="246"/>
      <c r="AG37" s="246"/>
      <c r="AH37" s="246"/>
      <c r="AI37" s="246"/>
      <c r="AJ37" s="246"/>
      <c r="AK37" s="246"/>
    </row>
    <row r="38" spans="1:37" ht="13.5">
      <c r="A38" s="1"/>
      <c r="B38" s="1"/>
      <c r="C38" s="1"/>
      <c r="D38" s="1"/>
      <c r="E38" s="1"/>
      <c r="F38" s="1"/>
      <c r="G38" s="1"/>
      <c r="H38" s="1"/>
      <c r="I38" s="1"/>
      <c r="J38" s="1"/>
      <c r="K38" s="1"/>
      <c r="L38" s="1"/>
      <c r="M38" s="1"/>
      <c r="N38" s="1"/>
      <c r="O38" s="1"/>
      <c r="P38" s="1"/>
      <c r="Q38" s="1"/>
      <c r="R38" s="1"/>
      <c r="S38" s="1"/>
      <c r="T38" s="1"/>
      <c r="U38" s="1"/>
      <c r="V38" s="1"/>
      <c r="W38" s="246"/>
      <c r="X38" s="246"/>
      <c r="Y38" s="246"/>
      <c r="Z38" s="246"/>
      <c r="AA38" s="246"/>
      <c r="AB38" s="246"/>
      <c r="AC38" s="246"/>
      <c r="AD38" s="246"/>
      <c r="AE38" s="246"/>
      <c r="AF38" s="246"/>
      <c r="AG38" s="246"/>
      <c r="AH38" s="246"/>
      <c r="AI38" s="246"/>
      <c r="AJ38" s="246"/>
      <c r="AK38" s="246"/>
    </row>
    <row r="39" spans="1:37" ht="13.5">
      <c r="A39" s="1"/>
      <c r="B39" s="1"/>
      <c r="C39" s="1"/>
      <c r="D39" s="1"/>
      <c r="E39" s="1"/>
      <c r="F39" s="1"/>
      <c r="G39" s="1"/>
      <c r="H39" s="1"/>
      <c r="I39" s="1"/>
      <c r="J39" s="1"/>
      <c r="K39" s="1"/>
      <c r="L39" s="1"/>
      <c r="M39" s="1"/>
      <c r="N39" s="1"/>
      <c r="O39" s="1"/>
      <c r="P39" s="1"/>
      <c r="Q39" s="1"/>
      <c r="R39" s="1"/>
      <c r="S39" s="1"/>
      <c r="T39" s="1"/>
      <c r="U39" s="1"/>
      <c r="V39" s="1"/>
      <c r="W39" s="246"/>
      <c r="X39" s="246"/>
      <c r="Y39" s="246"/>
      <c r="Z39" s="246"/>
      <c r="AA39" s="246"/>
      <c r="AB39" s="246"/>
      <c r="AC39" s="246"/>
      <c r="AD39" s="246"/>
      <c r="AE39" s="246"/>
      <c r="AF39" s="246"/>
      <c r="AG39" s="246"/>
      <c r="AH39" s="246"/>
      <c r="AI39" s="246"/>
      <c r="AJ39" s="246"/>
      <c r="AK39" s="246"/>
    </row>
    <row r="40" spans="1:37" ht="13.5">
      <c r="A40" s="1"/>
      <c r="B40" s="1"/>
      <c r="C40" s="1"/>
      <c r="D40" s="1"/>
      <c r="E40" s="1"/>
      <c r="F40" s="1"/>
      <c r="G40" s="1"/>
      <c r="H40" s="1"/>
      <c r="I40" s="1"/>
      <c r="J40" s="1"/>
      <c r="K40" s="1"/>
      <c r="L40" s="1"/>
      <c r="M40" s="1"/>
      <c r="N40" s="1"/>
      <c r="O40" s="1"/>
      <c r="P40" s="1"/>
      <c r="Q40" s="1"/>
      <c r="R40" s="1"/>
      <c r="S40" s="1"/>
      <c r="T40" s="1"/>
      <c r="U40" s="1"/>
      <c r="V40" s="1"/>
      <c r="W40" s="246"/>
      <c r="X40" s="246"/>
      <c r="Y40" s="246"/>
      <c r="Z40" s="246"/>
      <c r="AA40" s="246"/>
      <c r="AB40" s="246"/>
      <c r="AC40" s="246"/>
      <c r="AD40" s="246"/>
      <c r="AE40" s="246"/>
      <c r="AF40" s="246"/>
      <c r="AG40" s="246"/>
      <c r="AH40" s="246"/>
      <c r="AI40" s="246"/>
      <c r="AJ40" s="246"/>
      <c r="AK40" s="246"/>
    </row>
    <row r="41" spans="1:37" ht="13.5">
      <c r="A41" s="1"/>
      <c r="B41" s="1"/>
      <c r="C41" s="1"/>
      <c r="D41" s="1"/>
      <c r="E41" s="1"/>
      <c r="F41" s="1"/>
      <c r="G41" s="1"/>
      <c r="H41" s="1"/>
      <c r="I41" s="1"/>
      <c r="J41" s="1"/>
      <c r="K41" s="1"/>
      <c r="L41" s="1"/>
      <c r="M41" s="1"/>
      <c r="N41" s="1"/>
      <c r="O41" s="1"/>
      <c r="P41" s="1"/>
      <c r="Q41" s="1"/>
      <c r="R41" s="1"/>
      <c r="S41" s="1"/>
      <c r="T41" s="1"/>
      <c r="U41" s="1"/>
      <c r="V41" s="1"/>
      <c r="W41" s="246"/>
      <c r="X41" s="246"/>
      <c r="Y41" s="246"/>
      <c r="Z41" s="246"/>
      <c r="AA41" s="246"/>
      <c r="AB41" s="246"/>
      <c r="AC41" s="246"/>
      <c r="AD41" s="246"/>
      <c r="AE41" s="246"/>
      <c r="AF41" s="246"/>
      <c r="AG41" s="246"/>
      <c r="AH41" s="246"/>
      <c r="AI41" s="246"/>
      <c r="AJ41" s="246"/>
      <c r="AK41" s="246"/>
    </row>
    <row r="42" spans="1:37" ht="13.5">
      <c r="A42" s="1"/>
      <c r="B42" s="1"/>
      <c r="C42" s="1"/>
      <c r="D42" s="1"/>
      <c r="E42" s="1"/>
      <c r="F42" s="1"/>
      <c r="G42" s="1"/>
      <c r="H42" s="1"/>
      <c r="I42" s="1"/>
      <c r="J42" s="1"/>
      <c r="K42" s="1"/>
      <c r="L42" s="1"/>
      <c r="M42" s="1"/>
      <c r="N42" s="1"/>
      <c r="O42" s="1"/>
      <c r="P42" s="1"/>
      <c r="Q42" s="1"/>
      <c r="R42" s="1"/>
      <c r="S42" s="1"/>
      <c r="T42" s="1"/>
      <c r="U42" s="1"/>
      <c r="V42" s="1"/>
      <c r="W42" s="246"/>
      <c r="X42" s="246"/>
      <c r="Y42" s="246"/>
      <c r="Z42" s="246"/>
      <c r="AA42" s="246"/>
      <c r="AB42" s="246"/>
      <c r="AC42" s="246"/>
      <c r="AD42" s="246"/>
      <c r="AE42" s="246"/>
      <c r="AF42" s="246"/>
      <c r="AG42" s="246"/>
      <c r="AH42" s="246"/>
      <c r="AI42" s="246"/>
      <c r="AJ42" s="246"/>
      <c r="AK42" s="246"/>
    </row>
    <row r="43" spans="1:37" ht="13.5">
      <c r="A43" s="1"/>
      <c r="B43" s="1"/>
      <c r="C43" s="1"/>
      <c r="D43" s="1"/>
      <c r="E43" s="1"/>
      <c r="F43" s="1"/>
      <c r="G43" s="1"/>
      <c r="H43" s="1"/>
      <c r="I43" s="1"/>
      <c r="J43" s="1"/>
      <c r="K43" s="1"/>
      <c r="L43" s="1"/>
      <c r="M43" s="1"/>
      <c r="N43" s="1"/>
      <c r="O43" s="1"/>
      <c r="P43" s="1"/>
      <c r="Q43" s="1"/>
      <c r="R43" s="1"/>
      <c r="S43" s="1"/>
      <c r="T43" s="1"/>
      <c r="U43" s="1"/>
      <c r="V43" s="1"/>
      <c r="W43" s="246"/>
      <c r="X43" s="246"/>
      <c r="Y43" s="246"/>
      <c r="Z43" s="246"/>
      <c r="AA43" s="246"/>
      <c r="AB43" s="246"/>
      <c r="AC43" s="246"/>
      <c r="AD43" s="246"/>
      <c r="AE43" s="246"/>
      <c r="AF43" s="246"/>
      <c r="AG43" s="246"/>
      <c r="AH43" s="246"/>
      <c r="AI43" s="246"/>
      <c r="AJ43" s="246"/>
      <c r="AK43" s="246"/>
    </row>
    <row r="44" spans="1:37" ht="13.5">
      <c r="A44" s="1"/>
      <c r="B44" s="1"/>
      <c r="C44" s="1"/>
      <c r="D44" s="1"/>
      <c r="E44" s="1"/>
      <c r="F44" s="1"/>
      <c r="G44" s="1"/>
      <c r="H44" s="1"/>
      <c r="I44" s="1"/>
      <c r="J44" s="1"/>
      <c r="K44" s="1"/>
      <c r="L44" s="1"/>
      <c r="M44" s="1"/>
      <c r="N44" s="1"/>
      <c r="O44" s="1"/>
      <c r="P44" s="1"/>
      <c r="Q44" s="1"/>
      <c r="R44" s="1"/>
      <c r="S44" s="1"/>
      <c r="T44" s="1"/>
      <c r="U44" s="1"/>
      <c r="V44" s="1"/>
      <c r="W44" s="246"/>
      <c r="X44" s="246"/>
      <c r="Y44" s="246"/>
      <c r="Z44" s="246"/>
      <c r="AA44" s="246"/>
      <c r="AB44" s="246"/>
      <c r="AC44" s="246"/>
      <c r="AD44" s="246"/>
      <c r="AE44" s="246"/>
      <c r="AF44" s="246"/>
      <c r="AG44" s="246"/>
      <c r="AH44" s="246"/>
      <c r="AI44" s="246"/>
      <c r="AJ44" s="246"/>
      <c r="AK44" s="246"/>
    </row>
    <row r="45" spans="1:37" ht="15.75">
      <c r="A45" s="1"/>
      <c r="B45" s="1"/>
      <c r="C45" s="164" t="s">
        <v>30</v>
      </c>
      <c r="D45" s="1"/>
      <c r="E45" s="1"/>
      <c r="F45" s="1"/>
      <c r="G45" s="1"/>
      <c r="H45" s="1"/>
      <c r="I45" s="1"/>
      <c r="J45" s="164" t="s">
        <v>31</v>
      </c>
      <c r="K45" s="1"/>
      <c r="L45" s="1"/>
      <c r="M45" s="1"/>
      <c r="N45" s="1"/>
      <c r="O45" s="1"/>
      <c r="P45" s="1"/>
      <c r="Q45" s="1"/>
      <c r="R45" s="1"/>
      <c r="S45" s="1"/>
      <c r="T45" s="1"/>
      <c r="U45" s="1"/>
      <c r="V45" s="1"/>
      <c r="W45" s="246"/>
      <c r="X45" s="246"/>
      <c r="Y45" s="246"/>
      <c r="Z45" s="246"/>
      <c r="AA45" s="246"/>
      <c r="AB45" s="246"/>
      <c r="AC45" s="246"/>
      <c r="AD45" s="246"/>
      <c r="AE45" s="246"/>
      <c r="AF45" s="246"/>
      <c r="AG45" s="246"/>
      <c r="AH45" s="246"/>
      <c r="AI45" s="246"/>
      <c r="AJ45" s="246"/>
      <c r="AK45" s="246"/>
    </row>
    <row r="46" spans="1:37" ht="15.75">
      <c r="A46" s="1"/>
      <c r="B46" s="1"/>
      <c r="C46" s="164" t="s">
        <v>32</v>
      </c>
      <c r="D46" s="1"/>
      <c r="E46" s="1"/>
      <c r="F46" s="1"/>
      <c r="G46" s="1"/>
      <c r="H46" s="1"/>
      <c r="I46" s="1"/>
      <c r="J46" s="164" t="s">
        <v>28</v>
      </c>
      <c r="K46" s="1"/>
      <c r="L46" s="1"/>
      <c r="M46" s="1"/>
      <c r="N46" s="1"/>
      <c r="O46" s="1"/>
      <c r="P46" s="1"/>
      <c r="Q46" s="1"/>
      <c r="R46" s="1"/>
      <c r="S46" s="1"/>
      <c r="T46" s="1"/>
      <c r="U46" s="1"/>
      <c r="V46" s="1"/>
      <c r="W46" s="246"/>
      <c r="X46" s="246"/>
      <c r="Y46" s="246"/>
      <c r="Z46" s="246"/>
      <c r="AA46" s="246"/>
      <c r="AB46" s="246"/>
      <c r="AC46" s="246"/>
      <c r="AD46" s="246"/>
      <c r="AE46" s="246"/>
      <c r="AF46" s="246"/>
      <c r="AG46" s="246"/>
      <c r="AH46" s="246"/>
      <c r="AI46" s="246"/>
      <c r="AJ46" s="246"/>
      <c r="AK46" s="246"/>
    </row>
    <row r="47" spans="1:37" ht="13.5">
      <c r="A47" s="1"/>
      <c r="B47" s="1"/>
      <c r="C47" s="1"/>
      <c r="D47" s="1"/>
      <c r="E47" s="1"/>
      <c r="F47" s="1"/>
      <c r="G47" s="1"/>
      <c r="H47" s="1"/>
      <c r="I47" s="1"/>
      <c r="J47" s="1"/>
      <c r="K47" s="1"/>
      <c r="L47" s="1"/>
      <c r="M47" s="1"/>
      <c r="N47" s="1"/>
      <c r="O47" s="1"/>
      <c r="P47" s="1"/>
      <c r="Q47" s="1"/>
      <c r="R47" s="1"/>
      <c r="S47" s="1"/>
      <c r="T47" s="1"/>
      <c r="U47" s="1"/>
      <c r="V47" s="1"/>
      <c r="W47" s="246"/>
      <c r="X47" s="246"/>
      <c r="Y47" s="246"/>
      <c r="Z47" s="246"/>
      <c r="AA47" s="246"/>
      <c r="AB47" s="246"/>
      <c r="AC47" s="246"/>
      <c r="AD47" s="246"/>
      <c r="AE47" s="246"/>
      <c r="AF47" s="246"/>
      <c r="AG47" s="246"/>
      <c r="AH47" s="246"/>
      <c r="AI47" s="246"/>
      <c r="AJ47" s="246"/>
      <c r="AK47" s="246"/>
    </row>
    <row r="48" spans="1:37" ht="13.5">
      <c r="A48" s="1"/>
      <c r="B48" s="1"/>
      <c r="C48" s="1"/>
      <c r="D48" s="1"/>
      <c r="E48" s="1"/>
      <c r="F48" s="1"/>
      <c r="G48" s="1"/>
      <c r="H48" s="1"/>
      <c r="I48" s="1"/>
      <c r="J48" s="1"/>
      <c r="K48" s="1"/>
      <c r="L48" s="1"/>
      <c r="M48" s="1"/>
      <c r="N48" s="1"/>
      <c r="O48" s="1"/>
      <c r="P48" s="1"/>
      <c r="Q48" s="1"/>
      <c r="R48" s="1"/>
      <c r="S48" s="1"/>
      <c r="T48" s="1"/>
      <c r="U48" s="1"/>
      <c r="V48" s="1"/>
      <c r="W48" s="246"/>
      <c r="X48" s="246"/>
      <c r="Y48" s="246"/>
      <c r="Z48" s="246"/>
      <c r="AA48" s="246"/>
      <c r="AB48" s="246"/>
      <c r="AC48" s="246"/>
      <c r="AD48" s="246"/>
      <c r="AE48" s="246"/>
      <c r="AF48" s="246"/>
      <c r="AG48" s="246"/>
      <c r="AH48" s="246"/>
      <c r="AI48" s="246"/>
      <c r="AJ48" s="246"/>
      <c r="AK48" s="246"/>
    </row>
    <row r="49" spans="1:37" ht="13.5">
      <c r="A49" s="1"/>
      <c r="B49" s="1"/>
      <c r="C49" s="1"/>
      <c r="D49" s="1"/>
      <c r="E49" s="1"/>
      <c r="F49" s="1"/>
      <c r="G49" s="1"/>
      <c r="H49" s="1"/>
      <c r="I49" s="1"/>
      <c r="J49" s="1"/>
      <c r="K49" s="1"/>
      <c r="L49" s="1"/>
      <c r="M49" s="1"/>
      <c r="N49" s="1"/>
      <c r="O49" s="1"/>
      <c r="P49" s="1"/>
      <c r="Q49" s="1"/>
      <c r="R49" s="1"/>
      <c r="S49" s="1"/>
      <c r="T49" s="1"/>
      <c r="U49" s="1"/>
      <c r="V49" s="1"/>
      <c r="W49" s="246"/>
      <c r="X49" s="246"/>
      <c r="Y49" s="246"/>
      <c r="Z49" s="246"/>
      <c r="AA49" s="246"/>
      <c r="AB49" s="246"/>
      <c r="AC49" s="246"/>
      <c r="AD49" s="246"/>
      <c r="AE49" s="246"/>
      <c r="AF49" s="246"/>
      <c r="AG49" s="246"/>
      <c r="AH49" s="246"/>
      <c r="AI49" s="246"/>
      <c r="AJ49" s="246"/>
      <c r="AK49" s="246"/>
    </row>
    <row r="50" spans="1:37" ht="13.5">
      <c r="A50" s="1"/>
      <c r="B50" s="1"/>
      <c r="C50" s="1"/>
      <c r="D50" s="1"/>
      <c r="E50" s="1"/>
      <c r="F50" s="1"/>
      <c r="G50" s="1"/>
      <c r="H50" s="1"/>
      <c r="I50" s="1"/>
      <c r="J50" s="1"/>
      <c r="K50" s="1"/>
      <c r="L50" s="1"/>
      <c r="M50" s="1"/>
      <c r="N50" s="1"/>
      <c r="O50" s="1"/>
      <c r="P50" s="1"/>
      <c r="Q50" s="1"/>
      <c r="R50" s="1"/>
      <c r="S50" s="1"/>
      <c r="T50" s="1"/>
      <c r="U50" s="1"/>
      <c r="V50" s="1"/>
      <c r="W50" s="246"/>
      <c r="X50" s="246"/>
      <c r="Y50" s="246"/>
      <c r="Z50" s="246"/>
      <c r="AA50" s="246"/>
      <c r="AB50" s="246"/>
      <c r="AC50" s="246"/>
      <c r="AD50" s="246"/>
      <c r="AE50" s="246"/>
      <c r="AF50" s="246"/>
      <c r="AG50" s="246"/>
      <c r="AH50" s="246"/>
      <c r="AI50" s="246"/>
      <c r="AJ50" s="246"/>
      <c r="AK50" s="246"/>
    </row>
    <row r="51" spans="1:37" ht="13.5">
      <c r="A51" s="1"/>
      <c r="B51" s="1"/>
      <c r="C51" s="1"/>
      <c r="D51" s="1"/>
      <c r="E51" s="1"/>
      <c r="F51" s="1"/>
      <c r="G51" s="1"/>
      <c r="H51" s="1"/>
      <c r="I51" s="1"/>
      <c r="J51" s="1"/>
      <c r="K51" s="1"/>
      <c r="L51" s="1"/>
      <c r="M51" s="1"/>
      <c r="N51" s="1"/>
      <c r="O51" s="1"/>
      <c r="P51" s="1"/>
      <c r="Q51" s="1"/>
      <c r="R51" s="1"/>
      <c r="S51" s="1"/>
      <c r="T51" s="1"/>
      <c r="U51" s="1"/>
      <c r="V51" s="1"/>
      <c r="W51" s="246"/>
      <c r="X51" s="246"/>
      <c r="Y51" s="246"/>
      <c r="Z51" s="246"/>
      <c r="AA51" s="246"/>
      <c r="AB51" s="246"/>
      <c r="AC51" s="246"/>
      <c r="AD51" s="246"/>
      <c r="AE51" s="246"/>
      <c r="AF51" s="246"/>
      <c r="AG51" s="246"/>
      <c r="AH51" s="246"/>
      <c r="AI51" s="246"/>
      <c r="AJ51" s="246"/>
      <c r="AK51" s="246"/>
    </row>
    <row r="52" spans="1:37" ht="13.5">
      <c r="A52" s="1"/>
      <c r="B52" s="1"/>
      <c r="C52" s="1"/>
      <c r="D52" s="1"/>
      <c r="E52" s="1"/>
      <c r="F52" s="1"/>
      <c r="G52" s="1"/>
      <c r="H52" s="1"/>
      <c r="I52" s="1"/>
      <c r="J52" s="1"/>
      <c r="K52" s="1"/>
      <c r="L52" s="1"/>
      <c r="M52" s="1"/>
      <c r="N52" s="1"/>
      <c r="O52" s="1"/>
      <c r="P52" s="1"/>
      <c r="Q52" s="1"/>
      <c r="R52" s="1"/>
      <c r="S52" s="1"/>
      <c r="T52" s="1"/>
      <c r="U52" s="1"/>
      <c r="V52" s="1"/>
      <c r="W52" s="246"/>
      <c r="X52" s="246"/>
      <c r="Y52" s="246"/>
      <c r="Z52" s="246"/>
      <c r="AA52" s="246"/>
      <c r="AB52" s="246"/>
      <c r="AC52" s="246"/>
      <c r="AD52" s="246"/>
      <c r="AE52" s="246"/>
      <c r="AF52" s="246"/>
      <c r="AG52" s="246"/>
      <c r="AH52" s="246"/>
      <c r="AI52" s="246"/>
      <c r="AJ52" s="246"/>
      <c r="AK52" s="246"/>
    </row>
    <row r="53" spans="1:37" ht="13.5">
      <c r="A53" s="1"/>
      <c r="B53" s="1"/>
      <c r="C53" s="1"/>
      <c r="D53" s="1"/>
      <c r="E53" s="1"/>
      <c r="F53" s="1"/>
      <c r="G53" s="1"/>
      <c r="H53" s="1"/>
      <c r="I53" s="1"/>
      <c r="J53" s="1"/>
      <c r="K53" s="1"/>
      <c r="L53" s="1"/>
      <c r="M53" s="1"/>
      <c r="N53" s="1"/>
      <c r="O53" s="1"/>
      <c r="P53" s="1"/>
      <c r="Q53" s="1"/>
      <c r="R53" s="1"/>
      <c r="S53" s="1"/>
      <c r="T53" s="1"/>
      <c r="U53" s="1"/>
      <c r="V53" s="1"/>
      <c r="W53" s="246"/>
      <c r="X53" s="246"/>
      <c r="Y53" s="246"/>
      <c r="Z53" s="246"/>
      <c r="AA53" s="246"/>
      <c r="AB53" s="246"/>
      <c r="AC53" s="246"/>
      <c r="AD53" s="246"/>
      <c r="AE53" s="246"/>
      <c r="AF53" s="246"/>
      <c r="AG53" s="246"/>
      <c r="AH53" s="246"/>
      <c r="AI53" s="246"/>
      <c r="AJ53" s="246"/>
      <c r="AK53" s="246"/>
    </row>
    <row r="54" spans="1:37" ht="13.5">
      <c r="A54" s="1"/>
      <c r="B54" s="1"/>
      <c r="C54" s="1"/>
      <c r="D54" s="1"/>
      <c r="E54" s="1"/>
      <c r="F54" s="1"/>
      <c r="G54" s="1"/>
      <c r="H54" s="1"/>
      <c r="I54" s="1"/>
      <c r="J54" s="1"/>
      <c r="K54" s="1"/>
      <c r="L54" s="1"/>
      <c r="M54" s="1"/>
      <c r="N54" s="1"/>
      <c r="O54" s="1"/>
      <c r="P54" s="1"/>
      <c r="Q54" s="1"/>
      <c r="R54" s="1"/>
      <c r="S54" s="1"/>
      <c r="T54" s="1"/>
      <c r="U54" s="1"/>
      <c r="V54" s="1"/>
      <c r="W54" s="246"/>
      <c r="X54" s="246"/>
      <c r="Y54" s="246"/>
      <c r="Z54" s="246"/>
      <c r="AA54" s="246"/>
      <c r="AB54" s="246"/>
      <c r="AC54" s="246"/>
      <c r="AD54" s="246"/>
      <c r="AE54" s="246"/>
      <c r="AF54" s="246"/>
      <c r="AG54" s="246"/>
      <c r="AH54" s="246"/>
      <c r="AI54" s="246"/>
      <c r="AJ54" s="246"/>
      <c r="AK54" s="246"/>
    </row>
    <row r="55" spans="1:37" ht="13.5">
      <c r="A55" s="1"/>
      <c r="B55" s="1"/>
      <c r="C55" s="1"/>
      <c r="D55" s="1"/>
      <c r="E55" s="1"/>
      <c r="F55" s="1"/>
      <c r="G55" s="1"/>
      <c r="H55" s="1"/>
      <c r="I55" s="1"/>
      <c r="J55" s="1"/>
      <c r="K55" s="1"/>
      <c r="L55" s="1"/>
      <c r="M55" s="1"/>
      <c r="N55" s="1"/>
      <c r="O55" s="1"/>
      <c r="P55" s="1"/>
      <c r="Q55" s="1"/>
      <c r="R55" s="1"/>
      <c r="S55" s="1"/>
      <c r="T55" s="1"/>
      <c r="U55" s="1"/>
      <c r="V55" s="1"/>
      <c r="W55" s="246"/>
      <c r="X55" s="246"/>
      <c r="Y55" s="246"/>
      <c r="Z55" s="246"/>
      <c r="AA55" s="246"/>
      <c r="AB55" s="246"/>
      <c r="AC55" s="246"/>
      <c r="AD55" s="246"/>
      <c r="AE55" s="246"/>
      <c r="AF55" s="246"/>
      <c r="AG55" s="246"/>
      <c r="AH55" s="246"/>
      <c r="AI55" s="246"/>
      <c r="AJ55" s="246"/>
      <c r="AK55" s="246"/>
    </row>
    <row r="56" spans="1:37" ht="13.5">
      <c r="A56" s="1"/>
      <c r="B56" s="1"/>
      <c r="C56" s="1"/>
      <c r="D56" s="1"/>
      <c r="E56" s="1"/>
      <c r="F56" s="1"/>
      <c r="G56" s="1"/>
      <c r="H56" s="1"/>
      <c r="I56" s="1"/>
      <c r="J56" s="1"/>
      <c r="K56" s="1"/>
      <c r="L56" s="1"/>
      <c r="M56" s="1"/>
      <c r="N56" s="1"/>
      <c r="O56" s="1"/>
      <c r="P56" s="1"/>
      <c r="Q56" s="1"/>
      <c r="R56" s="1"/>
      <c r="S56" s="1"/>
      <c r="T56" s="1"/>
      <c r="U56" s="1"/>
      <c r="V56" s="1"/>
      <c r="W56" s="246"/>
      <c r="X56" s="246"/>
      <c r="Y56" s="246"/>
      <c r="Z56" s="246"/>
      <c r="AA56" s="246"/>
      <c r="AB56" s="246"/>
      <c r="AC56" s="246"/>
      <c r="AD56" s="246"/>
      <c r="AE56" s="246"/>
      <c r="AF56" s="246"/>
      <c r="AG56" s="246"/>
      <c r="AH56" s="246"/>
      <c r="AI56" s="246"/>
      <c r="AJ56" s="246"/>
      <c r="AK56" s="246"/>
    </row>
    <row r="57" spans="1:37" ht="13.5">
      <c r="A57" s="1"/>
      <c r="B57" s="1"/>
      <c r="C57" s="1"/>
      <c r="D57" s="1"/>
      <c r="E57" s="1"/>
      <c r="F57" s="1"/>
      <c r="G57" s="1"/>
      <c r="H57" s="1"/>
      <c r="I57" s="1"/>
      <c r="J57" s="1"/>
      <c r="K57" s="1"/>
      <c r="L57" s="1"/>
      <c r="M57" s="1"/>
      <c r="N57" s="1"/>
      <c r="O57" s="1"/>
      <c r="P57" s="1"/>
      <c r="Q57" s="1"/>
      <c r="R57" s="1"/>
      <c r="S57" s="1"/>
      <c r="T57" s="1"/>
      <c r="U57" s="1"/>
      <c r="V57" s="1"/>
      <c r="W57" s="246"/>
      <c r="X57" s="246"/>
      <c r="Y57" s="246"/>
      <c r="Z57" s="246"/>
      <c r="AA57" s="246"/>
      <c r="AB57" s="246"/>
      <c r="AC57" s="246"/>
      <c r="AD57" s="246"/>
      <c r="AE57" s="246"/>
      <c r="AF57" s="246"/>
      <c r="AG57" s="246"/>
      <c r="AH57" s="246"/>
      <c r="AI57" s="246"/>
      <c r="AJ57" s="246"/>
      <c r="AK57" s="246"/>
    </row>
    <row r="58" spans="1:37" ht="13.5">
      <c r="A58" s="1"/>
      <c r="B58" s="1"/>
      <c r="C58" s="1"/>
      <c r="D58" s="1"/>
      <c r="E58" s="1"/>
      <c r="F58" s="1"/>
      <c r="G58" s="1"/>
      <c r="H58" s="1"/>
      <c r="I58" s="1"/>
      <c r="J58" s="1"/>
      <c r="K58" s="1"/>
      <c r="L58" s="1"/>
      <c r="M58" s="1"/>
      <c r="N58" s="1"/>
      <c r="O58" s="1"/>
      <c r="P58" s="1"/>
      <c r="Q58" s="1"/>
      <c r="R58" s="1"/>
      <c r="S58" s="1"/>
      <c r="T58" s="1"/>
      <c r="U58" s="1"/>
      <c r="V58" s="1"/>
      <c r="W58" s="246"/>
      <c r="X58" s="246"/>
      <c r="Y58" s="246"/>
      <c r="Z58" s="246"/>
      <c r="AA58" s="246"/>
      <c r="AB58" s="246"/>
      <c r="AC58" s="246"/>
      <c r="AD58" s="246"/>
      <c r="AE58" s="246"/>
      <c r="AF58" s="246"/>
      <c r="AG58" s="246"/>
      <c r="AH58" s="246"/>
      <c r="AI58" s="246"/>
      <c r="AJ58" s="246"/>
      <c r="AK58" s="246"/>
    </row>
    <row r="59" spans="1:37" ht="13.5">
      <c r="A59" s="1"/>
      <c r="B59" s="1"/>
      <c r="C59" s="1"/>
      <c r="D59" s="1"/>
      <c r="E59" s="1"/>
      <c r="F59" s="1"/>
      <c r="G59" s="1"/>
      <c r="H59" s="1"/>
      <c r="I59" s="1"/>
      <c r="J59" s="1"/>
      <c r="K59" s="1"/>
      <c r="L59" s="1"/>
      <c r="M59" s="1"/>
      <c r="N59" s="1"/>
      <c r="O59" s="1"/>
      <c r="P59" s="1"/>
      <c r="Q59" s="1"/>
      <c r="R59" s="1"/>
      <c r="S59" s="1"/>
      <c r="T59" s="1"/>
      <c r="U59" s="1"/>
      <c r="V59" s="1"/>
      <c r="W59" s="246"/>
      <c r="X59" s="246"/>
      <c r="Y59" s="246"/>
      <c r="Z59" s="246"/>
      <c r="AA59" s="246"/>
      <c r="AB59" s="246"/>
      <c r="AC59" s="246"/>
      <c r="AD59" s="246"/>
      <c r="AE59" s="246"/>
      <c r="AF59" s="246"/>
      <c r="AG59" s="246"/>
      <c r="AH59" s="246"/>
      <c r="AI59" s="246"/>
      <c r="AJ59" s="246"/>
      <c r="AK59" s="246"/>
    </row>
    <row r="60" spans="1:37" ht="13.5">
      <c r="A60" s="1"/>
      <c r="B60" s="1"/>
      <c r="C60" s="1"/>
      <c r="D60" s="1"/>
      <c r="E60" s="1"/>
      <c r="F60" s="1"/>
      <c r="G60" s="1"/>
      <c r="H60" s="1"/>
      <c r="I60" s="1"/>
      <c r="J60" s="1"/>
      <c r="K60" s="1"/>
      <c r="L60" s="1"/>
      <c r="M60" s="1"/>
      <c r="N60" s="1"/>
      <c r="O60" s="1"/>
      <c r="P60" s="1"/>
      <c r="Q60" s="1"/>
      <c r="R60" s="1"/>
      <c r="S60" s="1"/>
      <c r="T60" s="1"/>
      <c r="U60" s="1"/>
      <c r="V60" s="1"/>
      <c r="W60" s="246"/>
      <c r="X60" s="246"/>
      <c r="Y60" s="246"/>
      <c r="Z60" s="246"/>
      <c r="AA60" s="246"/>
      <c r="AB60" s="246"/>
      <c r="AC60" s="246"/>
      <c r="AD60" s="246"/>
      <c r="AE60" s="246"/>
      <c r="AF60" s="246"/>
      <c r="AG60" s="246"/>
      <c r="AH60" s="246"/>
      <c r="AI60" s="246"/>
      <c r="AJ60" s="246"/>
      <c r="AK60" s="246"/>
    </row>
    <row r="61" spans="1:37" ht="13.5">
      <c r="A61" s="1"/>
      <c r="B61" s="1"/>
      <c r="C61" s="1"/>
      <c r="D61" s="1"/>
      <c r="E61" s="1"/>
      <c r="F61" s="1"/>
      <c r="G61" s="1"/>
      <c r="H61" s="1"/>
      <c r="I61" s="1"/>
      <c r="J61" s="1"/>
      <c r="K61" s="1"/>
      <c r="L61" s="1"/>
      <c r="M61" s="1"/>
      <c r="N61" s="1"/>
      <c r="O61" s="1"/>
      <c r="P61" s="1"/>
      <c r="Q61" s="1"/>
      <c r="R61" s="1"/>
      <c r="S61" s="1"/>
      <c r="T61" s="1"/>
      <c r="U61" s="1"/>
      <c r="V61" s="1"/>
      <c r="W61" s="246"/>
      <c r="X61" s="246"/>
      <c r="Y61" s="246"/>
      <c r="Z61" s="246"/>
      <c r="AA61" s="246"/>
      <c r="AB61" s="246"/>
      <c r="AC61" s="246"/>
      <c r="AD61" s="246"/>
      <c r="AE61" s="246"/>
      <c r="AF61" s="246"/>
      <c r="AG61" s="246"/>
      <c r="AH61" s="246"/>
      <c r="AI61" s="246"/>
      <c r="AJ61" s="246"/>
      <c r="AK61" s="246"/>
    </row>
    <row r="62" spans="1:37" ht="13.5">
      <c r="A62" s="1"/>
      <c r="B62" s="1"/>
      <c r="C62" s="1"/>
      <c r="D62" s="1"/>
      <c r="E62" s="1"/>
      <c r="F62" s="1"/>
      <c r="G62" s="1"/>
      <c r="H62" s="1"/>
      <c r="I62" s="1"/>
      <c r="J62" s="1"/>
      <c r="K62" s="1"/>
      <c r="L62" s="1"/>
      <c r="M62" s="1"/>
      <c r="N62" s="1"/>
      <c r="O62" s="1"/>
      <c r="P62" s="1"/>
      <c r="Q62" s="1"/>
      <c r="R62" s="1"/>
      <c r="S62" s="1"/>
      <c r="T62" s="1"/>
      <c r="U62" s="1"/>
      <c r="V62" s="1"/>
      <c r="W62" s="246"/>
      <c r="X62" s="246"/>
      <c r="Y62" s="246"/>
      <c r="Z62" s="246"/>
      <c r="AA62" s="246"/>
      <c r="AB62" s="246"/>
      <c r="AC62" s="246"/>
      <c r="AD62" s="246"/>
      <c r="AE62" s="246"/>
      <c r="AF62" s="246"/>
      <c r="AG62" s="246"/>
      <c r="AH62" s="246"/>
      <c r="AI62" s="246"/>
      <c r="AJ62" s="246"/>
      <c r="AK62" s="246"/>
    </row>
    <row r="63" spans="1:37" ht="13.5">
      <c r="A63" s="1"/>
      <c r="B63" s="1"/>
      <c r="C63" s="1"/>
      <c r="D63" s="1"/>
      <c r="E63" s="1"/>
      <c r="F63" s="1"/>
      <c r="G63" s="1"/>
      <c r="H63" s="1"/>
      <c r="I63" s="1"/>
      <c r="J63" s="1"/>
      <c r="K63" s="1"/>
      <c r="L63" s="1"/>
      <c r="M63" s="1"/>
      <c r="N63" s="1"/>
      <c r="O63" s="1"/>
      <c r="P63" s="1"/>
      <c r="Q63" s="1"/>
      <c r="R63" s="1"/>
      <c r="S63" s="1"/>
      <c r="T63" s="1"/>
      <c r="U63" s="1"/>
      <c r="V63" s="1"/>
      <c r="W63" s="246"/>
      <c r="X63" s="246"/>
      <c r="Y63" s="246"/>
      <c r="Z63" s="246"/>
      <c r="AA63" s="246"/>
      <c r="AB63" s="246"/>
      <c r="AC63" s="246"/>
      <c r="AD63" s="246"/>
      <c r="AE63" s="246"/>
      <c r="AF63" s="246"/>
      <c r="AG63" s="246"/>
      <c r="AH63" s="246"/>
      <c r="AI63" s="246"/>
      <c r="AJ63" s="246"/>
      <c r="AK63" s="246"/>
    </row>
    <row r="64" spans="1:37" ht="13.5">
      <c r="A64" s="1"/>
      <c r="B64" s="1"/>
      <c r="C64" s="1"/>
      <c r="D64" s="1"/>
      <c r="E64" s="1"/>
      <c r="F64" s="1"/>
      <c r="G64" s="1"/>
      <c r="H64" s="1"/>
      <c r="I64" s="1"/>
      <c r="J64" s="1"/>
      <c r="K64" s="1"/>
      <c r="L64" s="1"/>
      <c r="M64" s="1"/>
      <c r="N64" s="1"/>
      <c r="O64" s="1"/>
      <c r="P64" s="1"/>
      <c r="Q64" s="1"/>
      <c r="R64" s="1"/>
      <c r="S64" s="1"/>
      <c r="T64" s="1"/>
      <c r="U64" s="1"/>
      <c r="V64" s="1"/>
      <c r="W64" s="246"/>
      <c r="X64" s="246"/>
      <c r="Y64" s="246"/>
      <c r="Z64" s="246"/>
      <c r="AA64" s="246"/>
      <c r="AB64" s="246"/>
      <c r="AC64" s="246"/>
      <c r="AD64" s="246"/>
      <c r="AE64" s="246"/>
      <c r="AF64" s="246"/>
      <c r="AG64" s="246"/>
      <c r="AH64" s="246"/>
      <c r="AI64" s="246"/>
      <c r="AJ64" s="246"/>
      <c r="AK64" s="246"/>
    </row>
    <row r="65" spans="1:37" ht="13.5">
      <c r="A65" s="1"/>
      <c r="B65" s="1"/>
      <c r="C65" s="1"/>
      <c r="D65" s="1"/>
      <c r="E65" s="1"/>
      <c r="F65" s="1"/>
      <c r="G65" s="1"/>
      <c r="H65" s="1"/>
      <c r="I65" s="1"/>
      <c r="J65" s="1"/>
      <c r="K65" s="1"/>
      <c r="L65" s="1"/>
      <c r="M65" s="1"/>
      <c r="N65" s="1"/>
      <c r="O65" s="1"/>
      <c r="P65" s="1"/>
      <c r="Q65" s="1"/>
      <c r="R65" s="1"/>
      <c r="S65" s="1"/>
      <c r="T65" s="1"/>
      <c r="U65" s="1"/>
      <c r="V65" s="1"/>
      <c r="W65" s="246"/>
      <c r="X65" s="246"/>
      <c r="Y65" s="246"/>
      <c r="Z65" s="246"/>
      <c r="AA65" s="246"/>
      <c r="AB65" s="246"/>
      <c r="AC65" s="246"/>
      <c r="AD65" s="246"/>
      <c r="AE65" s="246"/>
      <c r="AF65" s="246"/>
      <c r="AG65" s="246"/>
      <c r="AH65" s="246"/>
      <c r="AI65" s="246"/>
      <c r="AJ65" s="246"/>
      <c r="AK65" s="246"/>
    </row>
    <row r="66" spans="1:37" ht="13.5">
      <c r="A66" s="1"/>
      <c r="B66" s="1"/>
      <c r="C66" s="1"/>
      <c r="D66" s="1"/>
      <c r="E66" s="1"/>
      <c r="F66" s="1"/>
      <c r="G66" s="1"/>
      <c r="H66" s="1"/>
      <c r="I66" s="1"/>
      <c r="J66" s="1"/>
      <c r="K66" s="1"/>
      <c r="L66" s="1"/>
      <c r="M66" s="1"/>
      <c r="N66" s="1"/>
      <c r="O66" s="1"/>
      <c r="P66" s="1"/>
      <c r="Q66" s="1"/>
      <c r="R66" s="1"/>
      <c r="S66" s="1"/>
      <c r="T66" s="1"/>
      <c r="U66" s="1"/>
      <c r="V66" s="1"/>
      <c r="W66" s="246"/>
      <c r="X66" s="246"/>
      <c r="Y66" s="246"/>
      <c r="Z66" s="246"/>
      <c r="AA66" s="246"/>
      <c r="AB66" s="246"/>
      <c r="AC66" s="246"/>
      <c r="AD66" s="246"/>
      <c r="AE66" s="246"/>
      <c r="AF66" s="246"/>
      <c r="AG66" s="246"/>
      <c r="AH66" s="246"/>
      <c r="AI66" s="246"/>
      <c r="AJ66" s="246"/>
      <c r="AK66" s="246"/>
    </row>
    <row r="67" spans="1:37" ht="13.5">
      <c r="A67" s="1"/>
      <c r="B67" s="1"/>
      <c r="C67" s="1"/>
      <c r="D67" s="1"/>
      <c r="E67" s="1"/>
      <c r="F67" s="1"/>
      <c r="G67" s="1"/>
      <c r="H67" s="1"/>
      <c r="I67" s="1"/>
      <c r="J67" s="1"/>
      <c r="K67" s="1"/>
      <c r="L67" s="1"/>
      <c r="M67" s="1"/>
      <c r="N67" s="1"/>
      <c r="O67" s="1"/>
      <c r="P67" s="1"/>
      <c r="Q67" s="1"/>
      <c r="R67" s="1"/>
      <c r="S67" s="1"/>
      <c r="T67" s="1"/>
      <c r="U67" s="1"/>
      <c r="V67" s="1"/>
      <c r="W67" s="246"/>
      <c r="X67" s="246"/>
      <c r="Y67" s="246"/>
      <c r="Z67" s="246"/>
      <c r="AA67" s="246"/>
      <c r="AB67" s="246"/>
      <c r="AC67" s="246"/>
      <c r="AD67" s="246"/>
      <c r="AE67" s="246"/>
      <c r="AF67" s="246"/>
      <c r="AG67" s="246"/>
      <c r="AH67" s="246"/>
      <c r="AI67" s="246"/>
      <c r="AJ67" s="246"/>
      <c r="AK67" s="246"/>
    </row>
    <row r="68" spans="1:37" ht="13.5">
      <c r="A68" s="1"/>
      <c r="B68" s="1"/>
      <c r="C68" s="1"/>
      <c r="D68" s="1"/>
      <c r="E68" s="1"/>
      <c r="F68" s="1"/>
      <c r="G68" s="1"/>
      <c r="H68" s="1"/>
      <c r="I68" s="1"/>
      <c r="J68" s="1"/>
      <c r="K68" s="1"/>
      <c r="L68" s="1"/>
      <c r="M68" s="1"/>
      <c r="N68" s="1"/>
      <c r="O68" s="1"/>
      <c r="P68" s="1"/>
      <c r="Q68" s="1"/>
      <c r="R68" s="1"/>
      <c r="S68" s="1"/>
      <c r="T68" s="1"/>
      <c r="U68" s="1"/>
      <c r="V68" s="1"/>
      <c r="W68" s="246"/>
      <c r="X68" s="246"/>
      <c r="Y68" s="246"/>
      <c r="Z68" s="246"/>
      <c r="AA68" s="246"/>
      <c r="AB68" s="246"/>
      <c r="AC68" s="246"/>
      <c r="AD68" s="246"/>
      <c r="AE68" s="246"/>
      <c r="AF68" s="246"/>
      <c r="AG68" s="246"/>
      <c r="AH68" s="246"/>
      <c r="AI68" s="246"/>
      <c r="AJ68" s="246"/>
      <c r="AK68" s="246"/>
    </row>
    <row r="69" spans="1:37" ht="13.5">
      <c r="A69" s="1"/>
      <c r="B69" s="1"/>
      <c r="C69" s="1"/>
      <c r="D69" s="1"/>
      <c r="E69" s="1"/>
      <c r="F69" s="1"/>
      <c r="G69" s="1"/>
      <c r="H69" s="1"/>
      <c r="I69" s="1"/>
      <c r="J69" s="1"/>
      <c r="K69" s="1"/>
      <c r="L69" s="1"/>
      <c r="M69" s="1"/>
      <c r="N69" s="1"/>
      <c r="O69" s="1"/>
      <c r="P69" s="1"/>
      <c r="Q69" s="1"/>
      <c r="R69" s="1"/>
      <c r="S69" s="1"/>
      <c r="T69" s="1"/>
      <c r="U69" s="1"/>
      <c r="V69" s="1"/>
      <c r="W69" s="246"/>
      <c r="X69" s="246"/>
      <c r="Y69" s="246"/>
      <c r="Z69" s="246"/>
      <c r="AA69" s="246"/>
      <c r="AB69" s="246"/>
      <c r="AC69" s="246"/>
      <c r="AD69" s="246"/>
      <c r="AE69" s="246"/>
      <c r="AF69" s="246"/>
      <c r="AG69" s="246"/>
      <c r="AH69" s="246"/>
      <c r="AI69" s="246"/>
      <c r="AJ69" s="246"/>
      <c r="AK69" s="246"/>
    </row>
    <row r="70" spans="1:37" ht="13.5">
      <c r="A70" s="1"/>
      <c r="B70" s="1"/>
      <c r="C70" s="1"/>
      <c r="D70" s="1"/>
      <c r="E70" s="1"/>
      <c r="F70" s="1"/>
      <c r="G70" s="1"/>
      <c r="H70" s="1"/>
      <c r="I70" s="1"/>
      <c r="J70" s="1"/>
      <c r="K70" s="1"/>
      <c r="L70" s="1"/>
      <c r="M70" s="1"/>
      <c r="N70" s="1"/>
      <c r="O70" s="1"/>
      <c r="P70" s="1"/>
      <c r="Q70" s="1"/>
      <c r="R70" s="1"/>
      <c r="S70" s="1"/>
      <c r="T70" s="1"/>
      <c r="U70" s="1"/>
      <c r="V70" s="1"/>
      <c r="W70" s="246"/>
      <c r="X70" s="246"/>
      <c r="Y70" s="246"/>
      <c r="Z70" s="246"/>
      <c r="AA70" s="246"/>
      <c r="AB70" s="246"/>
      <c r="AC70" s="246"/>
      <c r="AD70" s="246"/>
      <c r="AE70" s="246"/>
      <c r="AF70" s="246"/>
      <c r="AG70" s="246"/>
      <c r="AH70" s="246"/>
      <c r="AI70" s="246"/>
      <c r="AJ70" s="246"/>
      <c r="AK70" s="246"/>
    </row>
    <row r="71" spans="1:37" ht="13.5">
      <c r="A71" s="1"/>
      <c r="B71" s="1"/>
      <c r="C71" s="1"/>
      <c r="D71" s="1"/>
      <c r="E71" s="1"/>
      <c r="F71" s="1"/>
      <c r="G71" s="1"/>
      <c r="H71" s="1"/>
      <c r="I71" s="1"/>
      <c r="J71" s="1"/>
      <c r="K71" s="1"/>
      <c r="L71" s="1"/>
      <c r="M71" s="1"/>
      <c r="N71" s="1"/>
      <c r="O71" s="1"/>
      <c r="P71" s="1"/>
      <c r="Q71" s="1"/>
      <c r="R71" s="1"/>
      <c r="S71" s="1"/>
      <c r="T71" s="1"/>
      <c r="U71" s="1"/>
      <c r="V71" s="1"/>
      <c r="W71" s="246"/>
      <c r="X71" s="246"/>
      <c r="Y71" s="246"/>
      <c r="Z71" s="246"/>
      <c r="AA71" s="246"/>
      <c r="AB71" s="246"/>
      <c r="AC71" s="246"/>
      <c r="AD71" s="246"/>
      <c r="AE71" s="246"/>
      <c r="AF71" s="246"/>
      <c r="AG71" s="246"/>
      <c r="AH71" s="246"/>
      <c r="AI71" s="246"/>
      <c r="AJ71" s="246"/>
      <c r="AK71" s="246"/>
    </row>
    <row r="72" spans="1:37" ht="13.5">
      <c r="A72" s="1"/>
      <c r="B72" s="1"/>
      <c r="C72" s="1"/>
      <c r="D72" s="1"/>
      <c r="E72" s="1"/>
      <c r="F72" s="1"/>
      <c r="G72" s="1"/>
      <c r="H72" s="1"/>
      <c r="I72" s="1"/>
      <c r="J72" s="1"/>
      <c r="K72" s="1"/>
      <c r="L72" s="1"/>
      <c r="M72" s="1"/>
      <c r="N72" s="1"/>
      <c r="O72" s="1"/>
      <c r="P72" s="1"/>
      <c r="Q72" s="1"/>
      <c r="R72" s="1"/>
      <c r="S72" s="1"/>
      <c r="T72" s="1"/>
      <c r="U72" s="1"/>
      <c r="V72" s="1"/>
      <c r="W72" s="246"/>
      <c r="X72" s="246"/>
      <c r="Y72" s="246"/>
      <c r="Z72" s="246"/>
      <c r="AA72" s="246"/>
      <c r="AB72" s="246"/>
      <c r="AC72" s="246"/>
      <c r="AD72" s="246"/>
      <c r="AE72" s="246"/>
      <c r="AF72" s="246"/>
      <c r="AG72" s="246"/>
      <c r="AH72" s="246"/>
      <c r="AI72" s="246"/>
      <c r="AJ72" s="246"/>
      <c r="AK72" s="246"/>
    </row>
    <row r="73" spans="1:37" ht="13.5">
      <c r="A73" s="1"/>
      <c r="B73" s="1"/>
      <c r="C73" s="1"/>
      <c r="D73" s="1"/>
      <c r="E73" s="1"/>
      <c r="F73" s="1"/>
      <c r="G73" s="1"/>
      <c r="H73" s="1"/>
      <c r="I73" s="1"/>
      <c r="J73" s="1"/>
      <c r="K73" s="1"/>
      <c r="L73" s="1"/>
      <c r="M73" s="1"/>
      <c r="N73" s="1"/>
      <c r="O73" s="1"/>
      <c r="P73" s="1"/>
      <c r="Q73" s="1"/>
      <c r="R73" s="1"/>
      <c r="S73" s="1"/>
      <c r="T73" s="1"/>
      <c r="U73" s="1"/>
      <c r="V73" s="1"/>
      <c r="W73" s="246"/>
      <c r="X73" s="246"/>
      <c r="Y73" s="246"/>
      <c r="Z73" s="246"/>
      <c r="AA73" s="246"/>
      <c r="AB73" s="246"/>
      <c r="AC73" s="246"/>
      <c r="AD73" s="246"/>
      <c r="AE73" s="246"/>
      <c r="AF73" s="246"/>
      <c r="AG73" s="246"/>
      <c r="AH73" s="246"/>
      <c r="AI73" s="246"/>
      <c r="AJ73" s="246"/>
      <c r="AK73" s="246"/>
    </row>
    <row r="74" spans="1:37" ht="13.5">
      <c r="A74" s="1"/>
      <c r="B74" s="1"/>
      <c r="C74" s="1"/>
      <c r="D74" s="1"/>
      <c r="E74" s="1"/>
      <c r="F74" s="1"/>
      <c r="G74" s="1"/>
      <c r="H74" s="1"/>
      <c r="I74" s="1"/>
      <c r="J74" s="1"/>
      <c r="K74" s="1"/>
      <c r="L74" s="1"/>
      <c r="M74" s="1"/>
      <c r="N74" s="1"/>
      <c r="O74" s="1"/>
      <c r="P74" s="1"/>
      <c r="Q74" s="1"/>
      <c r="R74" s="1"/>
      <c r="S74" s="1"/>
      <c r="T74" s="1"/>
      <c r="U74" s="1"/>
      <c r="V74" s="1"/>
      <c r="W74" s="246"/>
      <c r="X74" s="246"/>
      <c r="Y74" s="246"/>
      <c r="Z74" s="246"/>
      <c r="AA74" s="246"/>
      <c r="AB74" s="246"/>
      <c r="AC74" s="246"/>
      <c r="AD74" s="246"/>
      <c r="AE74" s="246"/>
      <c r="AF74" s="246"/>
      <c r="AG74" s="246"/>
      <c r="AH74" s="246"/>
      <c r="AI74" s="246"/>
      <c r="AJ74" s="246"/>
      <c r="AK74" s="246"/>
    </row>
    <row r="75" spans="1:37" ht="13.5">
      <c r="A75" s="1"/>
      <c r="B75" s="1"/>
      <c r="C75" s="1"/>
      <c r="D75" s="1"/>
      <c r="E75" s="1"/>
      <c r="F75" s="1"/>
      <c r="G75" s="1"/>
      <c r="H75" s="1"/>
      <c r="I75" s="1"/>
      <c r="J75" s="1"/>
      <c r="K75" s="1"/>
      <c r="L75" s="1"/>
      <c r="M75" s="1"/>
      <c r="N75" s="1"/>
      <c r="O75" s="1"/>
      <c r="P75" s="1"/>
      <c r="Q75" s="1"/>
      <c r="R75" s="1"/>
      <c r="S75" s="1"/>
      <c r="T75" s="1"/>
      <c r="U75" s="1"/>
      <c r="V75" s="1"/>
      <c r="W75" s="246"/>
      <c r="X75" s="246"/>
      <c r="Y75" s="246"/>
      <c r="Z75" s="246"/>
      <c r="AA75" s="246"/>
      <c r="AB75" s="246"/>
      <c r="AC75" s="246"/>
      <c r="AD75" s="246"/>
      <c r="AE75" s="246"/>
      <c r="AF75" s="246"/>
      <c r="AG75" s="246"/>
      <c r="AH75" s="246"/>
      <c r="AI75" s="246"/>
      <c r="AJ75" s="246"/>
      <c r="AK75" s="246"/>
    </row>
    <row r="76" spans="1:37" ht="13.5">
      <c r="A76" s="1"/>
      <c r="B76" s="1"/>
      <c r="C76" s="1"/>
      <c r="D76" s="1"/>
      <c r="E76" s="1"/>
      <c r="F76" s="1"/>
      <c r="G76" s="1"/>
      <c r="H76" s="1"/>
      <c r="I76" s="1"/>
      <c r="J76" s="1"/>
      <c r="K76" s="1"/>
      <c r="L76" s="1"/>
      <c r="M76" s="1"/>
      <c r="N76" s="1"/>
      <c r="O76" s="1"/>
      <c r="P76" s="1"/>
      <c r="Q76" s="1"/>
      <c r="R76" s="1"/>
      <c r="S76" s="1"/>
      <c r="T76" s="1"/>
      <c r="U76" s="1"/>
      <c r="V76" s="1"/>
      <c r="W76" s="246"/>
      <c r="X76" s="246"/>
      <c r="Y76" s="246"/>
      <c r="Z76" s="246"/>
      <c r="AA76" s="246"/>
      <c r="AB76" s="246"/>
      <c r="AC76" s="246"/>
      <c r="AD76" s="246"/>
      <c r="AE76" s="246"/>
      <c r="AF76" s="246"/>
      <c r="AG76" s="246"/>
      <c r="AH76" s="246"/>
      <c r="AI76" s="246"/>
      <c r="AJ76" s="246"/>
      <c r="AK76" s="246"/>
    </row>
    <row r="77" spans="1:37" ht="13.5">
      <c r="A77" s="1"/>
      <c r="B77" s="1"/>
      <c r="C77" s="1"/>
      <c r="D77" s="1"/>
      <c r="E77" s="1"/>
      <c r="F77" s="1"/>
      <c r="G77" s="1"/>
      <c r="H77" s="1"/>
      <c r="I77" s="1"/>
      <c r="J77" s="1"/>
      <c r="K77" s="1"/>
      <c r="L77" s="1"/>
      <c r="M77" s="1"/>
      <c r="N77" s="1"/>
      <c r="O77" s="1"/>
      <c r="P77" s="1"/>
      <c r="Q77" s="1"/>
      <c r="R77" s="1"/>
      <c r="S77" s="1"/>
      <c r="T77" s="1"/>
      <c r="U77" s="1"/>
      <c r="V77" s="1"/>
      <c r="W77" s="246"/>
      <c r="X77" s="246"/>
      <c r="Y77" s="246"/>
      <c r="Z77" s="246"/>
      <c r="AA77" s="246"/>
      <c r="AB77" s="246"/>
      <c r="AC77" s="246"/>
      <c r="AD77" s="246"/>
      <c r="AE77" s="246"/>
      <c r="AF77" s="246"/>
      <c r="AG77" s="246"/>
      <c r="AH77" s="246"/>
      <c r="AI77" s="246"/>
      <c r="AJ77" s="246"/>
      <c r="AK77" s="246"/>
    </row>
    <row r="78" spans="1:37" ht="13.5">
      <c r="A78" s="1"/>
      <c r="B78" s="1"/>
      <c r="C78" s="1"/>
      <c r="D78" s="1"/>
      <c r="E78" s="1"/>
      <c r="F78" s="1"/>
      <c r="G78" s="1"/>
      <c r="H78" s="1"/>
      <c r="I78" s="1"/>
      <c r="J78" s="1"/>
      <c r="K78" s="1"/>
      <c r="L78" s="1"/>
      <c r="M78" s="1"/>
      <c r="N78" s="1"/>
      <c r="O78" s="1"/>
      <c r="P78" s="1"/>
      <c r="Q78" s="1"/>
      <c r="R78" s="1"/>
      <c r="S78" s="1"/>
      <c r="T78" s="1"/>
      <c r="U78" s="1"/>
      <c r="V78" s="1"/>
      <c r="W78" s="246"/>
      <c r="X78" s="246"/>
      <c r="Y78" s="246"/>
      <c r="Z78" s="246"/>
      <c r="AA78" s="246"/>
      <c r="AB78" s="246"/>
      <c r="AC78" s="246"/>
      <c r="AD78" s="246"/>
      <c r="AE78" s="246"/>
      <c r="AF78" s="246"/>
      <c r="AG78" s="246"/>
      <c r="AH78" s="246"/>
      <c r="AI78" s="246"/>
      <c r="AJ78" s="246"/>
      <c r="AK78" s="246"/>
    </row>
    <row r="79" spans="1:37" ht="13.5">
      <c r="A79" s="1"/>
      <c r="B79" s="1"/>
      <c r="C79" s="1"/>
      <c r="D79" s="1"/>
      <c r="E79" s="1"/>
      <c r="F79" s="1"/>
      <c r="G79" s="1"/>
      <c r="H79" s="1"/>
      <c r="I79" s="1"/>
      <c r="J79" s="1"/>
      <c r="K79" s="1"/>
      <c r="L79" s="1"/>
      <c r="M79" s="1"/>
      <c r="N79" s="1"/>
      <c r="O79" s="1"/>
      <c r="P79" s="1"/>
      <c r="Q79" s="1"/>
      <c r="R79" s="1"/>
      <c r="S79" s="1"/>
      <c r="T79" s="1"/>
      <c r="U79" s="1"/>
      <c r="V79" s="1"/>
      <c r="W79" s="246"/>
      <c r="X79" s="246"/>
      <c r="Y79" s="246"/>
      <c r="Z79" s="246"/>
      <c r="AA79" s="246"/>
      <c r="AB79" s="246"/>
      <c r="AC79" s="246"/>
      <c r="AD79" s="246"/>
      <c r="AE79" s="246"/>
      <c r="AF79" s="246"/>
      <c r="AG79" s="246"/>
      <c r="AH79" s="246"/>
      <c r="AI79" s="246"/>
      <c r="AJ79" s="246"/>
      <c r="AK79" s="246"/>
    </row>
    <row r="80" spans="1:37" ht="13.5">
      <c r="A80" s="1"/>
      <c r="B80" s="1"/>
      <c r="C80" s="1"/>
      <c r="D80" s="1"/>
      <c r="E80" s="1"/>
      <c r="F80" s="1"/>
      <c r="G80" s="1"/>
      <c r="H80" s="1"/>
      <c r="I80" s="1"/>
      <c r="J80" s="1"/>
      <c r="K80" s="1"/>
      <c r="L80" s="1"/>
      <c r="M80" s="1"/>
      <c r="N80" s="1"/>
      <c r="O80" s="1"/>
      <c r="P80" s="1"/>
      <c r="Q80" s="1"/>
      <c r="R80" s="1"/>
      <c r="S80" s="1"/>
      <c r="T80" s="1"/>
      <c r="U80" s="1"/>
      <c r="V80" s="1"/>
      <c r="W80" s="246"/>
      <c r="X80" s="246"/>
      <c r="Y80" s="246"/>
      <c r="Z80" s="246"/>
      <c r="AA80" s="246"/>
      <c r="AB80" s="246"/>
      <c r="AC80" s="246"/>
      <c r="AD80" s="246"/>
      <c r="AE80" s="246"/>
      <c r="AF80" s="246"/>
      <c r="AG80" s="246"/>
      <c r="AH80" s="246"/>
      <c r="AI80" s="246"/>
      <c r="AJ80" s="246"/>
      <c r="AK80" s="246"/>
    </row>
    <row r="81" s="246" customFormat="1" ht="13.5"/>
    <row r="82" s="246" customFormat="1" ht="13.5"/>
    <row r="83" s="246" customFormat="1" ht="13.5"/>
    <row r="84" s="246" customFormat="1" ht="13.5"/>
    <row r="85" s="246" customFormat="1" ht="13.5"/>
    <row r="86" s="246" customFormat="1" ht="13.5"/>
    <row r="87" s="246" customFormat="1" ht="13.5"/>
    <row r="88" s="246" customFormat="1" ht="13.5"/>
    <row r="89" s="246" customFormat="1" ht="13.5"/>
    <row r="90" s="246" customFormat="1" ht="13.5"/>
    <row r="91" s="246" customFormat="1" ht="13.5"/>
    <row r="92" s="246" customFormat="1" ht="13.5"/>
    <row r="93" s="246" customFormat="1" ht="13.5"/>
    <row r="94" s="246" customFormat="1" ht="13.5"/>
    <row r="95" s="246" customFormat="1" ht="13.5"/>
    <row r="96" s="246" customFormat="1" ht="13.5"/>
    <row r="97" s="246" customFormat="1" ht="13.5"/>
    <row r="98" s="246" customFormat="1" ht="13.5"/>
    <row r="99" s="246" customFormat="1" ht="13.5"/>
    <row r="100" s="246" customFormat="1" 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2"/>
  <legacyDrawing r:id="rId1"/>
</worksheet>
</file>

<file path=xl/worksheets/sheet4.xml><?xml version="1.0" encoding="utf-8"?>
<worksheet xmlns="http://schemas.openxmlformats.org/spreadsheetml/2006/main" xmlns:r="http://schemas.openxmlformats.org/officeDocument/2006/relationships">
  <sheetPr codeName="Sheet61"/>
  <dimension ref="A4:V39"/>
  <sheetViews>
    <sheetView showGridLines="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00390625" defaultRowHeight="13.5"/>
  <cols>
    <col min="1" max="1" width="3.375" style="0" customWidth="1"/>
    <col min="2" max="2" width="2.625" style="0" customWidth="1"/>
    <col min="3" max="3" width="7.25390625" style="0" customWidth="1"/>
    <col min="7" max="7" width="10.00390625" style="0" customWidth="1"/>
    <col min="8" max="8" width="9.625" style="0" customWidth="1"/>
    <col min="35" max="35" width="11.875" style="0" customWidth="1"/>
    <col min="36" max="36" width="10.875" style="0" customWidth="1"/>
  </cols>
  <sheetData>
    <row r="4" ht="13.5">
      <c r="B4" t="s">
        <v>33</v>
      </c>
    </row>
    <row r="5" spans="3:14" ht="13.5">
      <c r="C5" s="165">
        <f>TicToc</f>
        <v>30.000591278076172</v>
      </c>
      <c r="D5" s="166">
        <f>'1 DT'!AE24</f>
        <v>843.1990324636381</v>
      </c>
      <c r="E5" s="166">
        <f>'1 DT'!Z57</f>
        <v>843.1990324636381</v>
      </c>
      <c r="F5" s="166">
        <f>'1 DT'!Z92</f>
        <v>843.6052239479827</v>
      </c>
      <c r="G5" s="167">
        <f>-Nu</f>
        <v>0.10431795196144433</v>
      </c>
      <c r="H5" s="168">
        <f>'1 DT'!V64</f>
        <v>0.4702060732807865</v>
      </c>
      <c r="I5" s="169">
        <f>'1 DT'!AO64</f>
        <v>220.03184723234233</v>
      </c>
      <c r="J5" s="169">
        <f>'1 DT'!AO55</f>
        <v>220.02662653861805</v>
      </c>
      <c r="K5" s="169">
        <f>'1 DT'!AO56</f>
        <v>220.0338101961415</v>
      </c>
      <c r="L5" s="169">
        <f>'1 DT'!AO59</f>
        <v>220.05903420757105</v>
      </c>
      <c r="M5" s="534">
        <f>'1 DT'!AO63</f>
        <v>213.81587768612636</v>
      </c>
      <c r="N5" s="166"/>
    </row>
    <row r="7" spans="1:13" ht="18.75">
      <c r="A7" t="s">
        <v>34</v>
      </c>
      <c r="C7" s="170" t="s">
        <v>35</v>
      </c>
      <c r="D7" s="171" t="s">
        <v>36</v>
      </c>
      <c r="E7" s="171" t="s">
        <v>37</v>
      </c>
      <c r="F7" s="171" t="s">
        <v>38</v>
      </c>
      <c r="G7" s="400" t="s">
        <v>114</v>
      </c>
      <c r="H7" s="406" t="s">
        <v>119</v>
      </c>
      <c r="I7" s="172" t="s">
        <v>39</v>
      </c>
      <c r="J7" s="172" t="s">
        <v>40</v>
      </c>
      <c r="K7" s="172" t="s">
        <v>41</v>
      </c>
      <c r="L7" s="172" t="s">
        <v>42</v>
      </c>
      <c r="M7" s="172" t="s">
        <v>43</v>
      </c>
    </row>
    <row r="8" spans="1:14" ht="13.5">
      <c r="A8" s="173">
        <v>0</v>
      </c>
      <c r="C8" s="174">
        <v>0</v>
      </c>
      <c r="D8" s="174">
        <v>770.4111776899963</v>
      </c>
      <c r="E8" s="174">
        <v>770.4111776899965</v>
      </c>
      <c r="F8" s="174">
        <v>870.4346570720226</v>
      </c>
      <c r="G8" s="175">
        <v>0.1083767742562387</v>
      </c>
      <c r="H8" s="175">
        <v>0.46205962011560764</v>
      </c>
      <c r="I8" s="176">
        <v>231.1028141111843</v>
      </c>
      <c r="J8" s="176">
        <v>225.99976763117965</v>
      </c>
      <c r="K8" s="176">
        <v>231.76213956744616</v>
      </c>
      <c r="L8" s="176">
        <v>232.00478082998126</v>
      </c>
      <c r="M8" s="532">
        <v>213.81587768612636</v>
      </c>
      <c r="N8" s="533"/>
    </row>
    <row r="9" spans="1:14" ht="13.5">
      <c r="A9" s="173">
        <f aca="true" t="shared" si="0" ref="A9:A38">1+A8</f>
        <v>1</v>
      </c>
      <c r="C9" s="174">
        <v>1.009999394416809</v>
      </c>
      <c r="D9" s="174">
        <v>824.8255788044307</v>
      </c>
      <c r="E9" s="174">
        <v>824.8255788044305</v>
      </c>
      <c r="F9" s="174">
        <v>904.863499285956</v>
      </c>
      <c r="G9" s="175">
        <v>0.10327619589781856</v>
      </c>
      <c r="H9" s="175">
        <v>0.48919287873709855</v>
      </c>
      <c r="I9" s="176">
        <v>217.5992924428796</v>
      </c>
      <c r="J9" s="176">
        <v>216.27890042866053</v>
      </c>
      <c r="K9" s="176">
        <v>218.42690690648436</v>
      </c>
      <c r="L9" s="176">
        <v>224.78771885522607</v>
      </c>
      <c r="M9" s="532">
        <v>213.81587768612636</v>
      </c>
      <c r="N9" s="533"/>
    </row>
    <row r="10" spans="1:14" ht="13.5">
      <c r="A10" s="173">
        <f t="shared" si="0"/>
        <v>2</v>
      </c>
      <c r="C10" s="174">
        <v>2.019998550415039</v>
      </c>
      <c r="D10" s="174">
        <v>832.7054207682722</v>
      </c>
      <c r="E10" s="174">
        <v>832.7054207682723</v>
      </c>
      <c r="F10" s="174">
        <v>881.5231610079453</v>
      </c>
      <c r="G10" s="175">
        <v>0.10401945968102821</v>
      </c>
      <c r="H10" s="175">
        <v>0.4805491633303449</v>
      </c>
      <c r="I10" s="176">
        <v>218.97852718079258</v>
      </c>
      <c r="J10" s="176">
        <v>218.71819356403617</v>
      </c>
      <c r="K10" s="176">
        <v>219.4747967587353</v>
      </c>
      <c r="L10" s="176">
        <v>223.54495039900496</v>
      </c>
      <c r="M10" s="532">
        <v>213.81587768612636</v>
      </c>
      <c r="N10" s="533"/>
    </row>
    <row r="11" spans="1:14" ht="13.5">
      <c r="A11" s="173">
        <f t="shared" si="0"/>
        <v>3</v>
      </c>
      <c r="C11" s="174">
        <v>3.0299975872039795</v>
      </c>
      <c r="D11" s="174">
        <v>836.2139519210441</v>
      </c>
      <c r="E11" s="174">
        <v>836.2139519210443</v>
      </c>
      <c r="F11" s="174">
        <v>869.2724758931437</v>
      </c>
      <c r="G11" s="175">
        <v>0.10428928239194724</v>
      </c>
      <c r="H11" s="175">
        <v>0.47715990727144597</v>
      </c>
      <c r="I11" s="176">
        <v>219.1949461130951</v>
      </c>
      <c r="J11" s="176">
        <v>219.0708942915645</v>
      </c>
      <c r="K11" s="176">
        <v>219.51956237128917</v>
      </c>
      <c r="L11" s="176">
        <v>223.55974711939473</v>
      </c>
      <c r="M11" s="532">
        <v>213.81587768612636</v>
      </c>
      <c r="N11" s="533"/>
    </row>
    <row r="12" spans="1:22" ht="15.75">
      <c r="A12" s="173">
        <f t="shared" si="0"/>
        <v>4</v>
      </c>
      <c r="C12" s="174">
        <v>4.039997577667236</v>
      </c>
      <c r="D12" s="174">
        <v>838.6343858889986</v>
      </c>
      <c r="E12" s="174">
        <v>838.6343858889986</v>
      </c>
      <c r="F12" s="174">
        <v>860.5756123642111</v>
      </c>
      <c r="G12" s="175">
        <v>0.1043019663173328</v>
      </c>
      <c r="H12" s="175">
        <v>0.4762186022853674</v>
      </c>
      <c r="I12" s="176">
        <v>218.7612540306416</v>
      </c>
      <c r="J12" s="176">
        <v>218.68698649924846</v>
      </c>
      <c r="K12" s="176">
        <v>218.97905457897517</v>
      </c>
      <c r="L12" s="176">
        <v>222.29311703808892</v>
      </c>
      <c r="M12" s="532">
        <v>213.81587768612636</v>
      </c>
      <c r="N12" s="533"/>
      <c r="R12" s="1"/>
      <c r="S12" s="177" t="s">
        <v>44</v>
      </c>
      <c r="T12" s="178" t="s">
        <v>45</v>
      </c>
      <c r="U12" s="177" t="s">
        <v>46</v>
      </c>
      <c r="V12" s="178" t="s">
        <v>47</v>
      </c>
    </row>
    <row r="13" spans="1:22" ht="13.5">
      <c r="A13" s="173">
        <f t="shared" si="0"/>
        <v>5</v>
      </c>
      <c r="C13" s="174">
        <v>5.050020694732666</v>
      </c>
      <c r="D13" s="174">
        <v>840.0800516099489</v>
      </c>
      <c r="E13" s="174">
        <v>840.0800516099489</v>
      </c>
      <c r="F13" s="174">
        <v>855.2754999538296</v>
      </c>
      <c r="G13" s="175">
        <v>0.10428209495561824</v>
      </c>
      <c r="H13" s="175">
        <v>0.47569934127116004</v>
      </c>
      <c r="I13" s="176">
        <v>218.50639553448724</v>
      </c>
      <c r="J13" s="176">
        <v>218.4635644828011</v>
      </c>
      <c r="K13" s="176">
        <v>218.64706975334158</v>
      </c>
      <c r="L13" s="176">
        <v>221.0489277352346</v>
      </c>
      <c r="M13" s="532">
        <v>213.81587768612636</v>
      </c>
      <c r="N13" s="533"/>
      <c r="R13" s="1"/>
      <c r="S13" s="179">
        <f>'1 DT'!AK34</f>
        <v>1006093.2956666949</v>
      </c>
      <c r="T13" s="179">
        <f>'1 DT'!AT9</f>
        <v>5415.796956152251</v>
      </c>
      <c r="U13" s="179">
        <f>SUM('1 DT'!AO43:AO47)</f>
        <v>3206980.3639489273</v>
      </c>
      <c r="V13" s="179">
        <f>SUM('1 DT'!AO8:AO12)</f>
        <v>13731.797071167037</v>
      </c>
    </row>
    <row r="14" spans="1:22" ht="13.5">
      <c r="A14" s="173">
        <f t="shared" si="0"/>
        <v>6</v>
      </c>
      <c r="C14" s="174">
        <v>6.060043811798096</v>
      </c>
      <c r="D14" s="174">
        <v>840.9268104587582</v>
      </c>
      <c r="E14" s="174">
        <v>840.9268104587582</v>
      </c>
      <c r="F14" s="174">
        <v>852.2468818421307</v>
      </c>
      <c r="G14" s="175">
        <v>0.10425854914088517</v>
      </c>
      <c r="H14" s="175">
        <v>0.47526919044711674</v>
      </c>
      <c r="I14" s="176">
        <v>218.43668753947972</v>
      </c>
      <c r="J14" s="176">
        <v>218.4117611569154</v>
      </c>
      <c r="K14" s="176">
        <v>218.5246651932624</v>
      </c>
      <c r="L14" s="176">
        <v>220.15691249754028</v>
      </c>
      <c r="M14" s="532">
        <v>213.81587768612636</v>
      </c>
      <c r="N14" s="533"/>
      <c r="R14" s="1"/>
      <c r="S14" s="180" t="s">
        <v>48</v>
      </c>
      <c r="T14" s="180" t="s">
        <v>48</v>
      </c>
      <c r="U14" s="1"/>
      <c r="V14" s="1"/>
    </row>
    <row r="15" spans="1:22" ht="15.75">
      <c r="A15" s="173">
        <f t="shared" si="0"/>
        <v>7</v>
      </c>
      <c r="C15" s="174">
        <v>7.070066928863525</v>
      </c>
      <c r="D15" s="174">
        <v>841.4357559545933</v>
      </c>
      <c r="E15" s="174">
        <v>841.435755954593</v>
      </c>
      <c r="F15" s="174">
        <v>850.4179106959918</v>
      </c>
      <c r="G15" s="175">
        <v>0.10424739049443121</v>
      </c>
      <c r="H15" s="175">
        <v>0.4747994445856369</v>
      </c>
      <c r="I15" s="176">
        <v>218.4975723838088</v>
      </c>
      <c r="J15" s="176">
        <v>218.4802446345674</v>
      </c>
      <c r="K15" s="176">
        <v>218.55258581694787</v>
      </c>
      <c r="L15" s="176">
        <v>219.63246927408616</v>
      </c>
      <c r="M15" s="532">
        <v>213.81587768612636</v>
      </c>
      <c r="N15" s="533"/>
      <c r="R15" s="178" t="s">
        <v>49</v>
      </c>
      <c r="S15" s="181" t="s">
        <v>50</v>
      </c>
      <c r="T15" s="181" t="s">
        <v>51</v>
      </c>
      <c r="U15" s="181" t="s">
        <v>52</v>
      </c>
      <c r="V15" s="181" t="s">
        <v>53</v>
      </c>
    </row>
    <row r="16" spans="1:22" ht="13.5">
      <c r="A16" s="173">
        <f t="shared" si="0"/>
        <v>8</v>
      </c>
      <c r="C16" s="174">
        <v>8.080089569091797</v>
      </c>
      <c r="D16" s="174">
        <v>841.7592677818357</v>
      </c>
      <c r="E16" s="174">
        <v>841.7592677818357</v>
      </c>
      <c r="F16" s="174">
        <v>849.223704286649</v>
      </c>
      <c r="G16" s="175">
        <v>0.10424816688183092</v>
      </c>
      <c r="H16" s="175">
        <v>0.4742966257976202</v>
      </c>
      <c r="I16" s="176">
        <v>218.6296204668823</v>
      </c>
      <c r="J16" s="176">
        <v>218.6132931138831</v>
      </c>
      <c r="K16" s="176">
        <v>218.6653548446099</v>
      </c>
      <c r="L16" s="176">
        <v>219.3877214804722</v>
      </c>
      <c r="M16" s="532">
        <v>213.81587768612636</v>
      </c>
      <c r="N16" s="533"/>
      <c r="R16" s="1">
        <v>600</v>
      </c>
      <c r="S16" s="182">
        <v>206.96816755028343</v>
      </c>
      <c r="T16" s="182">
        <v>216.053665813817</v>
      </c>
      <c r="U16" s="182">
        <f aca="true" t="shared" si="1" ref="U16:U36">$S$13/($T$13-R16)</f>
        <v>208.91522313485328</v>
      </c>
      <c r="V16" s="182">
        <f aca="true" t="shared" si="2" ref="V16:V36">$U$13/($V$13+R16)</f>
        <v>223.7667996570219</v>
      </c>
    </row>
    <row r="17" spans="1:22" ht="13.5">
      <c r="A17" s="173">
        <f t="shared" si="0"/>
        <v>9</v>
      </c>
      <c r="C17" s="174">
        <v>9.090112686157227</v>
      </c>
      <c r="D17" s="174">
        <v>841.9826431338897</v>
      </c>
      <c r="E17" s="174">
        <v>841.9826431338897</v>
      </c>
      <c r="F17" s="174">
        <v>848.372692168102</v>
      </c>
      <c r="G17" s="175">
        <v>0.10425585920296232</v>
      </c>
      <c r="H17" s="175">
        <v>0.4737964312510422</v>
      </c>
      <c r="I17" s="176">
        <v>218.7892782405673</v>
      </c>
      <c r="J17" s="176">
        <v>218.77072495651794</v>
      </c>
      <c r="K17" s="176">
        <v>218.81432624908825</v>
      </c>
      <c r="L17" s="176">
        <v>219.31797535601348</v>
      </c>
      <c r="M17" s="532">
        <v>213.81587768612636</v>
      </c>
      <c r="N17" s="533"/>
      <c r="R17" s="1">
        <f aca="true" t="shared" si="3" ref="R17:R36">20+R16</f>
        <v>620</v>
      </c>
      <c r="S17" s="182">
        <v>207.8557373966128</v>
      </c>
      <c r="T17" s="182">
        <v>215.75258342707133</v>
      </c>
      <c r="U17" s="182">
        <f t="shared" si="1"/>
        <v>209.78646612134733</v>
      </c>
      <c r="V17" s="182">
        <f t="shared" si="2"/>
        <v>223.45496860402216</v>
      </c>
    </row>
    <row r="18" spans="1:22" ht="13.5">
      <c r="A18" s="173">
        <f t="shared" si="0"/>
        <v>10</v>
      </c>
      <c r="C18" s="174">
        <v>10.100135803222656</v>
      </c>
      <c r="D18" s="174">
        <v>842.1507799796545</v>
      </c>
      <c r="E18" s="174">
        <v>842.1507799796544</v>
      </c>
      <c r="F18" s="174">
        <v>847.7155220104371</v>
      </c>
      <c r="G18" s="175">
        <v>0.10426631503620687</v>
      </c>
      <c r="H18" s="175">
        <v>0.4733249693897999</v>
      </c>
      <c r="I18" s="176">
        <v>218.95153186656322</v>
      </c>
      <c r="J18" s="176">
        <v>218.92983151086335</v>
      </c>
      <c r="K18" s="176">
        <v>218.97085870657656</v>
      </c>
      <c r="L18" s="176">
        <v>219.34327917914263</v>
      </c>
      <c r="M18" s="532">
        <v>213.81587768612636</v>
      </c>
      <c r="N18" s="533"/>
      <c r="R18" s="1">
        <f t="shared" si="3"/>
        <v>640</v>
      </c>
      <c r="S18" s="182">
        <v>208.75095260345537</v>
      </c>
      <c r="T18" s="182">
        <v>215.45233902150576</v>
      </c>
      <c r="U18" s="182">
        <f t="shared" si="1"/>
        <v>210.66500626050083</v>
      </c>
      <c r="V18" s="182">
        <f t="shared" si="2"/>
        <v>223.14400544820037</v>
      </c>
    </row>
    <row r="19" spans="1:22" ht="13.5">
      <c r="A19" s="173">
        <f t="shared" si="0"/>
        <v>11</v>
      </c>
      <c r="C19" s="174">
        <v>11.110158920288086</v>
      </c>
      <c r="D19" s="174">
        <v>842.2867470087922</v>
      </c>
      <c r="E19" s="174">
        <v>842.2867470087922</v>
      </c>
      <c r="F19" s="174">
        <v>847.1760234595981</v>
      </c>
      <c r="G19" s="175">
        <v>0.10427698679277286</v>
      </c>
      <c r="H19" s="175">
        <v>0.47289572755747517</v>
      </c>
      <c r="I19" s="176">
        <v>219.10385494577045</v>
      </c>
      <c r="J19" s="176">
        <v>219.07935759692106</v>
      </c>
      <c r="K19" s="176">
        <v>219.12011301116218</v>
      </c>
      <c r="L19" s="176">
        <v>219.41272668095638</v>
      </c>
      <c r="M19" s="532">
        <v>213.81587768612636</v>
      </c>
      <c r="N19" s="533"/>
      <c r="R19" s="1">
        <f t="shared" si="3"/>
        <v>660</v>
      </c>
      <c r="S19" s="182">
        <v>209.65391238165952</v>
      </c>
      <c r="T19" s="182">
        <v>215.15292910354196</v>
      </c>
      <c r="U19" s="182">
        <f t="shared" si="1"/>
        <v>211.55093561451994</v>
      </c>
      <c r="V19" s="182">
        <f t="shared" si="2"/>
        <v>222.8339065712571</v>
      </c>
    </row>
    <row r="20" spans="1:22" ht="13.5">
      <c r="A20" s="173">
        <f t="shared" si="0"/>
        <v>12</v>
      </c>
      <c r="C20" s="174">
        <v>12.120182037353516</v>
      </c>
      <c r="D20" s="174">
        <v>842.402321004738</v>
      </c>
      <c r="E20" s="174">
        <v>842.402321004738</v>
      </c>
      <c r="F20" s="174">
        <v>846.7146918934586</v>
      </c>
      <c r="G20" s="175">
        <v>0.10428661002243356</v>
      </c>
      <c r="H20" s="175">
        <v>0.472513181025689</v>
      </c>
      <c r="I20" s="176">
        <v>219.24099033673346</v>
      </c>
      <c r="J20" s="176">
        <v>219.2145906145123</v>
      </c>
      <c r="K20" s="176">
        <v>219.25548293948316</v>
      </c>
      <c r="L20" s="176">
        <v>219.4972969391299</v>
      </c>
      <c r="M20" s="532">
        <v>213.81587768612636</v>
      </c>
      <c r="N20" s="533"/>
      <c r="R20" s="1">
        <f t="shared" si="3"/>
        <v>680</v>
      </c>
      <c r="S20" s="182">
        <v>210.5647176660913</v>
      </c>
      <c r="T20" s="182">
        <v>214.85435019899438</v>
      </c>
      <c r="U20" s="182">
        <f t="shared" si="1"/>
        <v>212.44434780078225</v>
      </c>
      <c r="V20" s="182">
        <f t="shared" si="2"/>
        <v>222.52466837497823</v>
      </c>
    </row>
    <row r="21" spans="1:22" ht="13.5">
      <c r="A21" s="173">
        <f t="shared" si="0"/>
        <v>13</v>
      </c>
      <c r="C21" s="174">
        <v>13.130205154418945</v>
      </c>
      <c r="D21" s="174">
        <v>842.5035265654096</v>
      </c>
      <c r="E21" s="174">
        <v>842.5035265654096</v>
      </c>
      <c r="F21" s="174">
        <v>846.3106295443193</v>
      </c>
      <c r="G21" s="175">
        <v>0.10429471255316414</v>
      </c>
      <c r="H21" s="175">
        <v>0.4721766791192189</v>
      </c>
      <c r="I21" s="176">
        <v>219.36155983637983</v>
      </c>
      <c r="J21" s="176">
        <v>219.33426851695998</v>
      </c>
      <c r="K21" s="176">
        <v>219.37486341172766</v>
      </c>
      <c r="L21" s="176">
        <v>219.58192902397903</v>
      </c>
      <c r="M21" s="532">
        <v>213.81587768612636</v>
      </c>
      <c r="N21" s="533"/>
      <c r="R21" s="1">
        <f t="shared" si="3"/>
        <v>700</v>
      </c>
      <c r="S21" s="182">
        <v>211.48347115324634</v>
      </c>
      <c r="T21" s="182">
        <v>214.5565988529361</v>
      </c>
      <c r="U21" s="182">
        <f t="shared" si="1"/>
        <v>213.34533802481482</v>
      </c>
      <c r="V21" s="182">
        <f t="shared" si="2"/>
        <v>222.21628728109553</v>
      </c>
    </row>
    <row r="22" spans="1:22" ht="13.5">
      <c r="A22" s="173">
        <f t="shared" si="0"/>
        <v>14</v>
      </c>
      <c r="C22" s="174">
        <v>14.140228271484375</v>
      </c>
      <c r="D22" s="174">
        <v>842.5935084611056</v>
      </c>
      <c r="E22" s="174">
        <v>842.5935084611058</v>
      </c>
      <c r="F22" s="174">
        <v>845.9524137308292</v>
      </c>
      <c r="G22" s="175">
        <v>0.10430123953583825</v>
      </c>
      <c r="H22" s="175">
        <v>0.4718830874323808</v>
      </c>
      <c r="I22" s="176">
        <v>219.46609384723507</v>
      </c>
      <c r="J22" s="176">
        <v>219.43882300576013</v>
      </c>
      <c r="K22" s="176">
        <v>219.47842566003888</v>
      </c>
      <c r="L22" s="176">
        <v>219.65964743001885</v>
      </c>
      <c r="M22" s="532">
        <v>213.81587768612636</v>
      </c>
      <c r="N22" s="533"/>
      <c r="R22" s="1">
        <f t="shared" si="3"/>
        <v>720</v>
      </c>
      <c r="S22" s="182">
        <v>212.41027733985084</v>
      </c>
      <c r="T22" s="182">
        <v>214.2596716295654</v>
      </c>
      <c r="U22" s="182">
        <f t="shared" si="1"/>
        <v>214.2540031141147</v>
      </c>
      <c r="V22" s="182">
        <f t="shared" si="2"/>
        <v>221.9087597311489</v>
      </c>
    </row>
    <row r="23" spans="1:22" ht="13.5">
      <c r="A23" s="173">
        <f t="shared" si="0"/>
        <v>15</v>
      </c>
      <c r="C23" s="174">
        <v>15.150251388549805</v>
      </c>
      <c r="D23" s="174">
        <v>842.6740040428904</v>
      </c>
      <c r="E23" s="174">
        <v>842.6740040428904</v>
      </c>
      <c r="F23" s="174">
        <v>845.6333622270784</v>
      </c>
      <c r="G23" s="175">
        <v>0.10430632819970609</v>
      </c>
      <c r="H23" s="175">
        <v>0.47162827119998807</v>
      </c>
      <c r="I23" s="176">
        <v>219.5559689863677</v>
      </c>
      <c r="J23" s="176">
        <v>219.5294471724619</v>
      </c>
      <c r="K23" s="176">
        <v>219.56738895520843</v>
      </c>
      <c r="L23" s="176">
        <v>219.72785721452266</v>
      </c>
      <c r="M23" s="532">
        <v>213.81587768612636</v>
      </c>
      <c r="N23" s="533"/>
      <c r="R23" s="1">
        <f t="shared" si="3"/>
        <v>740</v>
      </c>
      <c r="S23" s="182">
        <v>213.3452425624817</v>
      </c>
      <c r="T23" s="182">
        <v>213.96356511207358</v>
      </c>
      <c r="U23" s="182">
        <f t="shared" si="1"/>
        <v>215.1704415528378</v>
      </c>
      <c r="V23" s="182">
        <f t="shared" si="2"/>
        <v>221.60208218634932</v>
      </c>
    </row>
    <row r="24" spans="1:22" ht="13.5">
      <c r="A24" s="173">
        <f t="shared" si="0"/>
        <v>16</v>
      </c>
      <c r="C24" s="174">
        <v>16.160274505615234</v>
      </c>
      <c r="D24" s="174">
        <v>842.7460870849645</v>
      </c>
      <c r="E24" s="174">
        <v>842.7460870849644</v>
      </c>
      <c r="F24" s="174">
        <v>845.3490828456643</v>
      </c>
      <c r="G24" s="175">
        <v>0.10431018740812381</v>
      </c>
      <c r="H24" s="175">
        <v>0.47140785838329335</v>
      </c>
      <c r="I24" s="176">
        <v>219.63285916802573</v>
      </c>
      <c r="J24" s="176">
        <v>219.6076166597751</v>
      </c>
      <c r="K24" s="176">
        <v>219.6433726787397</v>
      </c>
      <c r="L24" s="176">
        <v>219.78619500675364</v>
      </c>
      <c r="M24" s="532">
        <v>213.81587768612636</v>
      </c>
      <c r="N24" s="533"/>
      <c r="R24" s="1">
        <f t="shared" si="3"/>
        <v>760</v>
      </c>
      <c r="S24" s="182">
        <v>214.28847503823803</v>
      </c>
      <c r="T24" s="182">
        <v>213.6682759025141</v>
      </c>
      <c r="U24" s="182">
        <f t="shared" si="1"/>
        <v>216.0947535173813</v>
      </c>
      <c r="V24" s="182">
        <f t="shared" si="2"/>
        <v>221.29625112744327</v>
      </c>
    </row>
    <row r="25" spans="1:22" ht="13.5">
      <c r="A25" s="173">
        <f t="shared" si="0"/>
        <v>17</v>
      </c>
      <c r="C25" s="174">
        <v>17.170297622680664</v>
      </c>
      <c r="D25" s="174">
        <v>842.8105336417639</v>
      </c>
      <c r="E25" s="174">
        <v>842.8105336417639</v>
      </c>
      <c r="F25" s="174">
        <v>845.0962403020103</v>
      </c>
      <c r="G25" s="175">
        <v>0.10431303798990066</v>
      </c>
      <c r="H25" s="175">
        <v>0.47121761395421446</v>
      </c>
      <c r="I25" s="176">
        <v>219.69846141754743</v>
      </c>
      <c r="J25" s="176">
        <v>219.67484862825782</v>
      </c>
      <c r="K25" s="176">
        <v>219.7080669590897</v>
      </c>
      <c r="L25" s="176">
        <v>219.8353425650342</v>
      </c>
      <c r="M25" s="532">
        <v>213.81587768612636</v>
      </c>
      <c r="N25" s="533"/>
      <c r="R25" s="1">
        <f t="shared" si="3"/>
        <v>780</v>
      </c>
      <c r="S25" s="182">
        <v>215.24008490649604</v>
      </c>
      <c r="T25" s="182">
        <v>213.37380062167236</v>
      </c>
      <c r="U25" s="182">
        <f t="shared" si="1"/>
        <v>217.02704091288768</v>
      </c>
      <c r="V25" s="182">
        <f t="shared" si="2"/>
        <v>220.99126305457787</v>
      </c>
    </row>
    <row r="26" spans="1:22" ht="13.5">
      <c r="A26" s="173">
        <f t="shared" si="0"/>
        <v>18</v>
      </c>
      <c r="C26" s="174">
        <v>18.180320739746094</v>
      </c>
      <c r="D26" s="174">
        <v>842.867993409498</v>
      </c>
      <c r="E26" s="174">
        <v>842.8679934094976</v>
      </c>
      <c r="F26" s="174">
        <v>844.8719716590635</v>
      </c>
      <c r="G26" s="175">
        <v>0.10431508533790645</v>
      </c>
      <c r="H26" s="175">
        <v>0.47105361479153196</v>
      </c>
      <c r="I26" s="176">
        <v>219.7543656888175</v>
      </c>
      <c r="J26" s="176">
        <v>219.73258413465518</v>
      </c>
      <c r="K26" s="176">
        <v>219.7630735924216</v>
      </c>
      <c r="L26" s="176">
        <v>219.87639555903752</v>
      </c>
      <c r="M26" s="532">
        <v>213.81587768612636</v>
      </c>
      <c r="N26" s="533"/>
      <c r="R26" s="1">
        <f t="shared" si="3"/>
        <v>800</v>
      </c>
      <c r="S26" s="182">
        <v>216.2001842717816</v>
      </c>
      <c r="T26" s="182">
        <v>213.08013590893697</v>
      </c>
      <c r="U26" s="182">
        <f t="shared" si="1"/>
        <v>217.96740741069743</v>
      </c>
      <c r="V26" s="182">
        <f t="shared" si="2"/>
        <v>220.68711448716763</v>
      </c>
    </row>
    <row r="27" spans="1:22" ht="13.5">
      <c r="A27" s="173">
        <f t="shared" si="0"/>
        <v>19</v>
      </c>
      <c r="C27" s="174">
        <v>19.190343856811523</v>
      </c>
      <c r="D27" s="174">
        <v>842.9190632357322</v>
      </c>
      <c r="E27" s="174">
        <v>842.919063235732</v>
      </c>
      <c r="F27" s="174">
        <v>844.6736372931655</v>
      </c>
      <c r="G27" s="175">
        <v>0.1043165084208757</v>
      </c>
      <c r="H27" s="175">
        <v>0.4709123220900072</v>
      </c>
      <c r="I27" s="176">
        <v>219.8019998644601</v>
      </c>
      <c r="J27" s="176">
        <v>219.7821351504205</v>
      </c>
      <c r="K27" s="176">
        <v>219.8098369275297</v>
      </c>
      <c r="L27" s="176">
        <v>219.9105411416523</v>
      </c>
      <c r="M27" s="532">
        <v>213.81587768612636</v>
      </c>
      <c r="N27" s="533"/>
      <c r="R27" s="1">
        <f t="shared" si="3"/>
        <v>820</v>
      </c>
      <c r="S27" s="182">
        <v>217.1688872477954</v>
      </c>
      <c r="T27" s="182">
        <v>212.7872784221718</v>
      </c>
      <c r="U27" s="182">
        <f t="shared" si="1"/>
        <v>218.91595848677972</v>
      </c>
      <c r="V27" s="182">
        <f t="shared" si="2"/>
        <v>220.38380196376195</v>
      </c>
    </row>
    <row r="28" spans="1:22" ht="13.5">
      <c r="A28" s="173">
        <f t="shared" si="0"/>
        <v>20</v>
      </c>
      <c r="C28" s="174">
        <v>20.200366973876953</v>
      </c>
      <c r="D28" s="174">
        <v>842.9643134237531</v>
      </c>
      <c r="E28" s="174">
        <v>842.9643134237527</v>
      </c>
      <c r="F28" s="174">
        <v>844.4987354798459</v>
      </c>
      <c r="G28" s="175">
        <v>0.10431745697616024</v>
      </c>
      <c r="H28" s="175">
        <v>0.4707905994110562</v>
      </c>
      <c r="I28" s="176">
        <v>219.84261395619507</v>
      </c>
      <c r="J28" s="176">
        <v>219.8246659177302</v>
      </c>
      <c r="K28" s="176">
        <v>219.8496218414283</v>
      </c>
      <c r="L28" s="176">
        <v>219.93890357138886</v>
      </c>
      <c r="M28" s="532">
        <v>213.81587768612636</v>
      </c>
      <c r="N28" s="533"/>
      <c r="R28" s="1">
        <f t="shared" si="3"/>
        <v>840</v>
      </c>
      <c r="S28" s="182">
        <v>218.14631000262676</v>
      </c>
      <c r="T28" s="182">
        <v>212.49522483758926</v>
      </c>
      <c r="U28" s="182">
        <f t="shared" si="1"/>
        <v>219.87280146117106</v>
      </c>
      <c r="V28" s="182">
        <f t="shared" si="2"/>
        <v>220.0813220419137</v>
      </c>
    </row>
    <row r="29" spans="1:22" ht="13.5">
      <c r="A29" s="173">
        <f t="shared" si="0"/>
        <v>21</v>
      </c>
      <c r="C29" s="174">
        <v>21.210390090942383</v>
      </c>
      <c r="D29" s="174">
        <v>843.0042929136989</v>
      </c>
      <c r="E29" s="174">
        <v>843.0042929136987</v>
      </c>
      <c r="F29" s="174">
        <v>844.3448890972811</v>
      </c>
      <c r="G29" s="175">
        <v>0.1043180526769163</v>
      </c>
      <c r="H29" s="175">
        <v>0.47068570120213643</v>
      </c>
      <c r="I29" s="176">
        <v>219.87728439259692</v>
      </c>
      <c r="J29" s="176">
        <v>219.86119255007543</v>
      </c>
      <c r="K29" s="176">
        <v>219.88351580421352</v>
      </c>
      <c r="L29" s="176">
        <v>219.96247951295362</v>
      </c>
      <c r="M29" s="532">
        <v>213.81587768612636</v>
      </c>
      <c r="N29" s="533"/>
      <c r="R29" s="1">
        <f t="shared" si="3"/>
        <v>860</v>
      </c>
      <c r="S29" s="182">
        <v>219.1325708051942</v>
      </c>
      <c r="T29" s="182">
        <v>212.20397184962457</v>
      </c>
      <c r="U29" s="182">
        <f t="shared" si="1"/>
        <v>220.83804553845266</v>
      </c>
      <c r="V29" s="182">
        <f t="shared" si="2"/>
        <v>219.77967129804912</v>
      </c>
    </row>
    <row r="30" spans="1:22" ht="13.5">
      <c r="A30" s="173">
        <f t="shared" si="0"/>
        <v>22</v>
      </c>
      <c r="C30" s="174">
        <v>22.220413208007812</v>
      </c>
      <c r="D30" s="174">
        <v>843.0395263487007</v>
      </c>
      <c r="E30" s="174">
        <v>843.0395263487005</v>
      </c>
      <c r="F30" s="174">
        <v>844.2098582173672</v>
      </c>
      <c r="G30" s="175">
        <v>0.10431839209605376</v>
      </c>
      <c r="H30" s="175">
        <v>0.47059524557856036</v>
      </c>
      <c r="I30" s="176">
        <v>219.90692800763225</v>
      </c>
      <c r="J30" s="176">
        <v>219.89259200656517</v>
      </c>
      <c r="K30" s="176">
        <v>219.91244254766025</v>
      </c>
      <c r="L30" s="176">
        <v>219.98211982615342</v>
      </c>
      <c r="M30" s="532">
        <v>213.81587768612636</v>
      </c>
      <c r="N30" s="533"/>
      <c r="R30" s="1">
        <f t="shared" si="3"/>
        <v>880</v>
      </c>
      <c r="S30" s="182">
        <v>220.1277900729514</v>
      </c>
      <c r="T30" s="182">
        <v>211.91351617081096</v>
      </c>
      <c r="U30" s="182">
        <f t="shared" si="1"/>
        <v>221.8118018492986</v>
      </c>
      <c r="V30" s="182">
        <f t="shared" si="2"/>
        <v>219.47884632733866</v>
      </c>
    </row>
    <row r="31" spans="1:22" ht="13.5">
      <c r="A31" s="173">
        <f t="shared" si="0"/>
        <v>23</v>
      </c>
      <c r="C31" s="174">
        <v>23.230436325073242</v>
      </c>
      <c r="D31" s="174">
        <v>843.0705091677592</v>
      </c>
      <c r="E31" s="174">
        <v>843.0705091677594</v>
      </c>
      <c r="F31" s="174">
        <v>844.0915570208278</v>
      </c>
      <c r="G31" s="175">
        <v>0.10431855031849158</v>
      </c>
      <c r="H31" s="175">
        <v>0.4705171795604961</v>
      </c>
      <c r="I31" s="176">
        <v>219.93232000263288</v>
      </c>
      <c r="J31" s="176">
        <v>219.91961541528005</v>
      </c>
      <c r="K31" s="176">
        <v>219.93718051983151</v>
      </c>
      <c r="L31" s="176">
        <v>219.9985342122559</v>
      </c>
      <c r="M31" s="532">
        <v>213.81587768612636</v>
      </c>
      <c r="N31" s="533"/>
      <c r="R31" s="1">
        <f t="shared" si="3"/>
        <v>900</v>
      </c>
      <c r="S31" s="182">
        <v>221.13209042089898</v>
      </c>
      <c r="T31" s="182">
        <v>211.62385453165606</v>
      </c>
      <c r="U31" s="182">
        <f t="shared" si="1"/>
        <v>222.7941834931283</v>
      </c>
      <c r="V31" s="182">
        <f t="shared" si="2"/>
        <v>219.1788437435688</v>
      </c>
    </row>
    <row r="32" spans="1:22" ht="13.5">
      <c r="A32" s="173">
        <f t="shared" si="0"/>
        <v>24</v>
      </c>
      <c r="C32" s="174">
        <v>24.240459442138672</v>
      </c>
      <c r="D32" s="174">
        <v>843.0977033461613</v>
      </c>
      <c r="E32" s="174">
        <v>843.0977033461613</v>
      </c>
      <c r="F32" s="174">
        <v>843.9880663091126</v>
      </c>
      <c r="G32" s="175">
        <v>0.10431858459554966</v>
      </c>
      <c r="H32" s="175">
        <v>0.47044974178450844</v>
      </c>
      <c r="I32" s="176">
        <v>219.95411273841034</v>
      </c>
      <c r="J32" s="176">
        <v>219.94290287959555</v>
      </c>
      <c r="K32" s="176">
        <v>219.9583824383825</v>
      </c>
      <c r="L32" s="176">
        <v>220.01230594292372</v>
      </c>
      <c r="M32" s="532">
        <v>213.81587768612636</v>
      </c>
      <c r="N32" s="533"/>
      <c r="R32" s="1">
        <f t="shared" si="3"/>
        <v>920</v>
      </c>
      <c r="S32" s="182">
        <v>222.14559671194425</v>
      </c>
      <c r="T32" s="182">
        <v>211.33498368051917</v>
      </c>
      <c r="U32" s="182">
        <f t="shared" si="1"/>
        <v>223.7853055818972</v>
      </c>
      <c r="V32" s="182">
        <f t="shared" si="2"/>
        <v>218.87966017901493</v>
      </c>
    </row>
    <row r="33" spans="1:22" ht="13.5">
      <c r="A33" s="173">
        <f t="shared" si="0"/>
        <v>25</v>
      </c>
      <c r="C33" s="174">
        <v>25.2504825592041</v>
      </c>
      <c r="D33" s="174">
        <v>843.121534666876</v>
      </c>
      <c r="E33" s="174">
        <v>843.1215346668763</v>
      </c>
      <c r="F33" s="174">
        <v>843.8976391682063</v>
      </c>
      <c r="G33" s="175">
        <v>0.10431853773357869</v>
      </c>
      <c r="H33" s="175">
        <v>0.4703914257339972</v>
      </c>
      <c r="I33" s="176">
        <v>219.97285369093822</v>
      </c>
      <c r="J33" s="176">
        <v>219.96299816327993</v>
      </c>
      <c r="K33" s="176">
        <v>219.97659402023805</v>
      </c>
      <c r="L33" s="176">
        <v>220.02390992712046</v>
      </c>
      <c r="M33" s="532">
        <v>213.81587768612636</v>
      </c>
      <c r="N33" s="533"/>
      <c r="R33" s="1">
        <f t="shared" si="3"/>
        <v>940</v>
      </c>
      <c r="S33" s="182">
        <v>223.16843610865206</v>
      </c>
      <c r="T33" s="182">
        <v>211.0469003834896</v>
      </c>
      <c r="U33" s="182">
        <f t="shared" si="1"/>
        <v>224.78528528506175</v>
      </c>
      <c r="V33" s="182">
        <f t="shared" si="2"/>
        <v>218.58129228431557</v>
      </c>
    </row>
    <row r="34" spans="1:22" ht="13.5">
      <c r="A34" s="173">
        <f t="shared" si="0"/>
        <v>26</v>
      </c>
      <c r="C34" s="174">
        <v>26.26050567626953</v>
      </c>
      <c r="D34" s="174">
        <v>843.1423916038102</v>
      </c>
      <c r="E34" s="174">
        <v>843.1423916038107</v>
      </c>
      <c r="F34" s="174">
        <v>843.818700136241</v>
      </c>
      <c r="G34" s="175">
        <v>0.10431844107786437</v>
      </c>
      <c r="H34" s="175">
        <v>0.47034094524403774</v>
      </c>
      <c r="I34" s="176">
        <v>219.98900175991008</v>
      </c>
      <c r="J34" s="176">
        <v>219.9803624029603</v>
      </c>
      <c r="K34" s="176">
        <v>219.99227096928408</v>
      </c>
      <c r="L34" s="176">
        <v>220.03373071210373</v>
      </c>
      <c r="M34" s="532">
        <v>213.81587768612636</v>
      </c>
      <c r="N34" s="533"/>
      <c r="R34" s="1">
        <f t="shared" si="3"/>
        <v>960</v>
      </c>
      <c r="S34" s="182">
        <v>224.2007381264321</v>
      </c>
      <c r="T34" s="182">
        <v>210.75960142426607</v>
      </c>
      <c r="U34" s="182">
        <f t="shared" si="1"/>
        <v>225.79424187575512</v>
      </c>
      <c r="V34" s="182">
        <f t="shared" si="2"/>
        <v>218.28373672834715</v>
      </c>
    </row>
    <row r="35" spans="1:22" ht="13.5">
      <c r="A35" s="173">
        <f t="shared" si="0"/>
        <v>27</v>
      </c>
      <c r="C35" s="174">
        <v>27.27052879333496</v>
      </c>
      <c r="D35" s="174">
        <v>843.1606255714523</v>
      </c>
      <c r="E35" s="174">
        <v>843.1606255714527</v>
      </c>
      <c r="F35" s="174">
        <v>843.7498392553273</v>
      </c>
      <c r="G35" s="175">
        <v>0.10431831704885197</v>
      </c>
      <c r="H35" s="175">
        <v>0.47029720318779433</v>
      </c>
      <c r="I35" s="176">
        <v>220.00294161410054</v>
      </c>
      <c r="J35" s="176">
        <v>219.9953864480616</v>
      </c>
      <c r="K35" s="176">
        <v>220.00579387188748</v>
      </c>
      <c r="L35" s="176">
        <v>220.0420788468114</v>
      </c>
      <c r="M35" s="532">
        <v>213.81587768612636</v>
      </c>
      <c r="N35" s="533"/>
      <c r="R35" s="1">
        <f t="shared" si="3"/>
        <v>980</v>
      </c>
      <c r="S35" s="182">
        <v>225.242634688209</v>
      </c>
      <c r="T35" s="182">
        <v>210.47308360403684</v>
      </c>
      <c r="U35" s="182">
        <f t="shared" si="1"/>
        <v>226.81229677821221</v>
      </c>
      <c r="V35" s="182">
        <f t="shared" si="2"/>
        <v>217.98699019810013</v>
      </c>
    </row>
    <row r="36" spans="1:22" ht="13.5">
      <c r="A36" s="173">
        <f t="shared" si="0"/>
        <v>28</v>
      </c>
      <c r="C36" s="174">
        <v>28.28055191040039</v>
      </c>
      <c r="D36" s="174">
        <v>843.176552201824</v>
      </c>
      <c r="E36" s="174">
        <v>843.1765522018243</v>
      </c>
      <c r="F36" s="174">
        <v>843.6898025764781</v>
      </c>
      <c r="G36" s="175">
        <v>0.10431818124089709</v>
      </c>
      <c r="H36" s="175">
        <v>0.4702592637023286</v>
      </c>
      <c r="I36" s="176">
        <v>220.0149960370406</v>
      </c>
      <c r="J36" s="176">
        <v>220.00840169521166</v>
      </c>
      <c r="K36" s="176">
        <v>220.0174809644473</v>
      </c>
      <c r="L36" s="176">
        <v>220.0492050200083</v>
      </c>
      <c r="M36" s="532">
        <v>213.81587768612636</v>
      </c>
      <c r="N36" s="533"/>
      <c r="R36" s="1">
        <f t="shared" si="3"/>
        <v>1000</v>
      </c>
      <c r="S36" s="182">
        <v>226.29426018062406</v>
      </c>
      <c r="T36" s="182">
        <v>210.18734374136122</v>
      </c>
      <c r="U36" s="182">
        <f t="shared" si="1"/>
        <v>227.83957361648356</v>
      </c>
      <c r="V36" s="182">
        <f t="shared" si="2"/>
        <v>217.6910493985561</v>
      </c>
    </row>
    <row r="37" spans="1:14" ht="13.5">
      <c r="A37" s="173">
        <f t="shared" si="0"/>
        <v>29</v>
      </c>
      <c r="C37" s="174">
        <v>29.29057502746582</v>
      </c>
      <c r="D37" s="174">
        <v>843.1904533213983</v>
      </c>
      <c r="E37" s="174">
        <v>843.1904533213984</v>
      </c>
      <c r="F37" s="174">
        <v>843.6374805163164</v>
      </c>
      <c r="G37" s="175">
        <v>0.10431804412136225</v>
      </c>
      <c r="H37" s="175">
        <v>0.47022632796762814</v>
      </c>
      <c r="I37" s="176">
        <v>220.02543638704668</v>
      </c>
      <c r="J37" s="176">
        <v>220.01968943722858</v>
      </c>
      <c r="K37" s="176">
        <v>220.02759890257278</v>
      </c>
      <c r="L37" s="176">
        <v>220.05531189445338</v>
      </c>
      <c r="M37" s="532">
        <v>213.81587768612636</v>
      </c>
      <c r="N37" s="533"/>
    </row>
    <row r="38" spans="1:14" ht="13.5">
      <c r="A38" s="173">
        <f t="shared" si="0"/>
        <v>30</v>
      </c>
      <c r="C38" s="174">
        <v>30.000591278076172</v>
      </c>
      <c r="D38" s="174">
        <v>843.1990324636381</v>
      </c>
      <c r="E38" s="174">
        <v>843.1990324636381</v>
      </c>
      <c r="F38" s="174">
        <v>843.6052239479827</v>
      </c>
      <c r="G38" s="175">
        <v>0.10431795196144433</v>
      </c>
      <c r="H38" s="175">
        <v>0.4702060732807865</v>
      </c>
      <c r="I38" s="176">
        <v>220.03184723234233</v>
      </c>
      <c r="J38" s="176">
        <v>220.02662653861805</v>
      </c>
      <c r="K38" s="176">
        <v>220.0338101961415</v>
      </c>
      <c r="L38" s="176">
        <v>220.05903420757105</v>
      </c>
      <c r="M38" s="532">
        <v>213.81587768612636</v>
      </c>
      <c r="N38" s="533"/>
    </row>
    <row r="39" spans="3:14" ht="13.5">
      <c r="C39" s="174"/>
      <c r="D39" s="174"/>
      <c r="E39" s="174"/>
      <c r="F39" s="174"/>
      <c r="G39" s="175"/>
      <c r="H39" s="175"/>
      <c r="I39" s="176"/>
      <c r="J39" s="176"/>
      <c r="K39" s="176"/>
      <c r="L39" s="176"/>
      <c r="M39" s="532"/>
      <c r="N39" s="533"/>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C10:P47"/>
  <sheetViews>
    <sheetView showGridLines="0" workbookViewId="0" topLeftCell="A1">
      <selection activeCell="B34" sqref="B34"/>
    </sheetView>
  </sheetViews>
  <sheetFormatPr defaultColWidth="9.00390625" defaultRowHeight="13.5"/>
  <cols>
    <col min="1" max="1" width="8.625" style="0" customWidth="1"/>
    <col min="2" max="2" width="7.125" style="0" customWidth="1"/>
    <col min="5" max="5" width="5.25390625" style="0" customWidth="1"/>
    <col min="10" max="10" width="9.125" style="0" customWidth="1"/>
    <col min="13" max="13" width="4.375" style="0" customWidth="1"/>
    <col min="19" max="19" width="6.50390625" style="0" customWidth="1"/>
    <col min="27" max="27" width="6.875" style="0"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spans="6:11" ht="12.75" customHeight="1">
      <c r="F10" s="183" t="s">
        <v>54</v>
      </c>
      <c r="G10" s="184" t="s">
        <v>55</v>
      </c>
      <c r="H10" s="184" t="s">
        <v>56</v>
      </c>
      <c r="I10" s="184" t="s">
        <v>57</v>
      </c>
      <c r="J10" s="184" t="s">
        <v>58</v>
      </c>
      <c r="K10" s="184" t="s">
        <v>59</v>
      </c>
    </row>
    <row r="11" ht="12.75" customHeight="1">
      <c r="M11" s="185" t="s">
        <v>60</v>
      </c>
    </row>
    <row r="12" spans="4:13" ht="12.75" customHeight="1" thickBot="1">
      <c r="D12" s="316">
        <v>0</v>
      </c>
      <c r="F12" s="88">
        <f>F37/F$26</f>
        <v>0</v>
      </c>
      <c r="G12" s="3">
        <v>0</v>
      </c>
      <c r="H12" s="4">
        <v>0</v>
      </c>
      <c r="I12" s="5">
        <v>0</v>
      </c>
      <c r="J12" s="4">
        <v>0</v>
      </c>
      <c r="K12" s="5">
        <v>0</v>
      </c>
      <c r="M12" s="185" t="s">
        <v>61</v>
      </c>
    </row>
    <row r="13" spans="4:11" ht="12.75" customHeight="1">
      <c r="D13" s="13" t="s">
        <v>25</v>
      </c>
      <c r="E13" s="132" t="s">
        <v>98</v>
      </c>
      <c r="F13" s="10" t="s">
        <v>3</v>
      </c>
      <c r="G13" s="10" t="s">
        <v>4</v>
      </c>
      <c r="H13" s="10">
        <v>2</v>
      </c>
      <c r="I13" s="10">
        <v>3</v>
      </c>
      <c r="J13" s="10" t="s">
        <v>0</v>
      </c>
      <c r="K13" s="10" t="s">
        <v>1</v>
      </c>
    </row>
    <row r="14" spans="3:13" ht="12.75" customHeight="1">
      <c r="C14" s="186" t="s">
        <v>54</v>
      </c>
      <c r="D14" s="187">
        <f>-F37</f>
        <v>0</v>
      </c>
      <c r="E14" s="10" t="s">
        <v>3</v>
      </c>
      <c r="F14" s="408">
        <f aca="true" t="shared" si="0" ref="F14:F19">F39/F$26</f>
        <v>309552.4676306927</v>
      </c>
      <c r="G14" s="18">
        <f>-G12-SUM(G15:G19)</f>
        <v>-100</v>
      </c>
      <c r="H14" s="64">
        <f>-H12-SUM(H15:H19)</f>
        <v>-750</v>
      </c>
      <c r="I14" s="19">
        <f>-I12-SUM(I15:I19)</f>
        <v>-3200</v>
      </c>
      <c r="J14" s="18">
        <f>-J12-SUM(J15:J19)</f>
        <v>-876</v>
      </c>
      <c r="K14" s="19">
        <f>-K12-SUM(K15:K19)</f>
        <v>-8766</v>
      </c>
      <c r="L14" s="10" t="s">
        <v>3</v>
      </c>
      <c r="M14" s="185" t="s">
        <v>54</v>
      </c>
    </row>
    <row r="15" spans="3:13" ht="12.75" customHeight="1">
      <c r="C15" s="188" t="s">
        <v>55</v>
      </c>
      <c r="D15" s="162">
        <f>G39-F40</f>
        <v>-16991.26862202934</v>
      </c>
      <c r="E15" s="10" t="s">
        <v>4</v>
      </c>
      <c r="F15" s="189">
        <f t="shared" si="0"/>
        <v>-84956.36248045962</v>
      </c>
      <c r="G15" s="190">
        <v>30</v>
      </c>
      <c r="H15" s="191">
        <v>200</v>
      </c>
      <c r="I15" s="192">
        <v>800</v>
      </c>
      <c r="J15" s="193">
        <v>20</v>
      </c>
      <c r="K15" s="192">
        <v>600</v>
      </c>
      <c r="L15" s="10" t="s">
        <v>4</v>
      </c>
      <c r="M15" s="194" t="s">
        <v>55</v>
      </c>
    </row>
    <row r="16" spans="3:16" ht="12.75" customHeight="1">
      <c r="C16" s="188" t="s">
        <v>56</v>
      </c>
      <c r="D16" s="195">
        <f>H39-F41</f>
        <v>-14578.352228175587</v>
      </c>
      <c r="E16" s="10" t="s">
        <v>6</v>
      </c>
      <c r="F16" s="196">
        <f t="shared" si="0"/>
        <v>-72891.77801820959</v>
      </c>
      <c r="G16" s="197">
        <v>25</v>
      </c>
      <c r="H16" s="193">
        <v>100</v>
      </c>
      <c r="I16" s="198">
        <v>700</v>
      </c>
      <c r="J16" s="193">
        <v>30</v>
      </c>
      <c r="K16" s="198">
        <v>600</v>
      </c>
      <c r="L16" s="10" t="s">
        <v>6</v>
      </c>
      <c r="M16" s="194" t="s">
        <v>56</v>
      </c>
      <c r="P16" s="199" t="s">
        <v>62</v>
      </c>
    </row>
    <row r="17" spans="3:16" ht="12.75" customHeight="1">
      <c r="C17" s="188" t="s">
        <v>57</v>
      </c>
      <c r="D17" s="200">
        <f>I39-F42</f>
        <v>-13347.81036760137</v>
      </c>
      <c r="E17" s="10" t="s">
        <v>7</v>
      </c>
      <c r="F17" s="201">
        <f t="shared" si="0"/>
        <v>-66739.07769986232</v>
      </c>
      <c r="G17" s="202">
        <v>20</v>
      </c>
      <c r="H17" s="203">
        <v>150</v>
      </c>
      <c r="I17" s="204">
        <v>500</v>
      </c>
      <c r="J17" s="193">
        <v>26</v>
      </c>
      <c r="K17" s="198">
        <v>600</v>
      </c>
      <c r="L17" s="10" t="s">
        <v>7</v>
      </c>
      <c r="M17" s="194" t="s">
        <v>57</v>
      </c>
      <c r="P17" s="199" t="s">
        <v>121</v>
      </c>
    </row>
    <row r="18" spans="3:16" ht="12.75" customHeight="1">
      <c r="C18" s="188" t="s">
        <v>58</v>
      </c>
      <c r="D18" s="195">
        <f>J39-F43</f>
        <v>40425.7094793594</v>
      </c>
      <c r="E18" s="10" t="s">
        <v>0</v>
      </c>
      <c r="F18" s="196">
        <f t="shared" si="0"/>
        <v>-62719.38856293771</v>
      </c>
      <c r="G18" s="193">
        <v>20</v>
      </c>
      <c r="H18" s="193">
        <v>200</v>
      </c>
      <c r="I18" s="193">
        <v>900</v>
      </c>
      <c r="J18" s="193">
        <v>800</v>
      </c>
      <c r="K18" s="198">
        <v>200</v>
      </c>
      <c r="L18" s="10" t="s">
        <v>0</v>
      </c>
      <c r="M18" s="194" t="s">
        <v>58</v>
      </c>
      <c r="P18" s="199" t="s">
        <v>76</v>
      </c>
    </row>
    <row r="19" spans="3:16" ht="12.75" customHeight="1" thickBot="1">
      <c r="C19" s="188" t="s">
        <v>59</v>
      </c>
      <c r="D19" s="163">
        <f>K39-F44</f>
        <v>4491.721738446875</v>
      </c>
      <c r="E19" s="10" t="s">
        <v>1</v>
      </c>
      <c r="F19" s="205">
        <f t="shared" si="0"/>
        <v>-22245.860869223437</v>
      </c>
      <c r="G19" s="206">
        <v>5</v>
      </c>
      <c r="H19" s="207">
        <v>100</v>
      </c>
      <c r="I19" s="207">
        <v>300</v>
      </c>
      <c r="J19" s="207">
        <v>0</v>
      </c>
      <c r="K19" s="225">
        <v>6766</v>
      </c>
      <c r="L19" s="10" t="s">
        <v>1</v>
      </c>
      <c r="M19" s="194" t="s">
        <v>59</v>
      </c>
      <c r="P19" s="199"/>
    </row>
    <row r="20" spans="6:11" ht="12.75" customHeight="1">
      <c r="F20" s="10" t="s">
        <v>3</v>
      </c>
      <c r="G20" s="10" t="s">
        <v>4</v>
      </c>
      <c r="H20" s="10">
        <v>2</v>
      </c>
      <c r="I20" s="10">
        <v>3</v>
      </c>
      <c r="J20" s="10" t="s">
        <v>0</v>
      </c>
      <c r="K20" s="10" t="s">
        <v>1</v>
      </c>
    </row>
    <row r="21" ht="12.75" customHeight="1"/>
    <row r="22" ht="12.75" customHeight="1"/>
    <row r="23" spans="6:11" ht="12.75" customHeight="1">
      <c r="F23" s="183" t="s">
        <v>54</v>
      </c>
      <c r="G23" s="184" t="s">
        <v>55</v>
      </c>
      <c r="H23" s="184" t="s">
        <v>56</v>
      </c>
      <c r="I23" s="184" t="s">
        <v>57</v>
      </c>
      <c r="J23" s="184" t="s">
        <v>58</v>
      </c>
      <c r="K23" s="184" t="s">
        <v>59</v>
      </c>
    </row>
    <row r="24" ht="12.75" customHeight="1"/>
    <row r="25" spans="4:11" ht="12.75" customHeight="1">
      <c r="D25" s="144" t="s">
        <v>63</v>
      </c>
      <c r="F25" s="10" t="s">
        <v>3</v>
      </c>
      <c r="G25" s="10" t="s">
        <v>4</v>
      </c>
      <c r="H25" s="10">
        <v>2</v>
      </c>
      <c r="I25" s="10">
        <v>3</v>
      </c>
      <c r="J25" s="10" t="s">
        <v>0</v>
      </c>
      <c r="K25" s="10" t="s">
        <v>1</v>
      </c>
    </row>
    <row r="26" spans="4:13" ht="12.75" customHeight="1" thickBot="1">
      <c r="D26" s="208">
        <v>0.1</v>
      </c>
      <c r="E26" s="132" t="s">
        <v>73</v>
      </c>
      <c r="F26" s="209">
        <v>2</v>
      </c>
      <c r="G26" s="210">
        <v>1869.0399358294858</v>
      </c>
      <c r="H26" s="210">
        <v>213.81587768612636</v>
      </c>
      <c r="I26" s="211">
        <v>45.88311430228937</v>
      </c>
      <c r="J26" s="212">
        <v>1118.592995348895</v>
      </c>
      <c r="K26" s="213">
        <v>20</v>
      </c>
      <c r="M26" s="214" t="s">
        <v>64</v>
      </c>
    </row>
    <row r="27" ht="12.75" customHeight="1"/>
    <row r="28" ht="12.75" customHeight="1">
      <c r="J28" s="146" t="s">
        <v>65</v>
      </c>
    </row>
    <row r="29" spans="10:11" ht="12.75" customHeight="1" thickBot="1">
      <c r="J29" s="493">
        <v>0.9</v>
      </c>
      <c r="K29" s="494">
        <f>1-J29</f>
        <v>0.09999999999999998</v>
      </c>
    </row>
    <row r="30" spans="10:11" ht="12.75" customHeight="1">
      <c r="J30" s="10" t="s">
        <v>0</v>
      </c>
      <c r="K30" s="10" t="s">
        <v>1</v>
      </c>
    </row>
    <row r="31" ht="12.75" customHeight="1"/>
    <row r="32" ht="12.75" customHeight="1"/>
    <row r="33" ht="12.75" customHeight="1"/>
    <row r="34" ht="12.75" customHeight="1"/>
    <row r="35" spans="6:11" ht="12.75" customHeight="1">
      <c r="F35" s="183" t="s">
        <v>54</v>
      </c>
      <c r="G35" s="184" t="s">
        <v>55</v>
      </c>
      <c r="H35" s="184" t="s">
        <v>56</v>
      </c>
      <c r="I35" s="184" t="s">
        <v>57</v>
      </c>
      <c r="J35" s="184" t="s">
        <v>58</v>
      </c>
      <c r="K35" s="184" t="s">
        <v>59</v>
      </c>
    </row>
    <row r="36" ht="12.75" customHeight="1">
      <c r="M36" s="185" t="s">
        <v>60</v>
      </c>
    </row>
    <row r="37" spans="6:13" ht="12.75" customHeight="1" thickBot="1">
      <c r="F37" s="88">
        <f>-SUM(G37:K37)</f>
        <v>0</v>
      </c>
      <c r="G37" s="3">
        <f>G$26*G12</f>
        <v>0</v>
      </c>
      <c r="H37" s="4">
        <f>H$26*H12</f>
        <v>0</v>
      </c>
      <c r="I37" s="5">
        <f>I$26*I12</f>
        <v>0</v>
      </c>
      <c r="J37" s="4">
        <f>J$26*J12</f>
        <v>0</v>
      </c>
      <c r="K37" s="5">
        <f>K$26*K12</f>
        <v>0</v>
      </c>
      <c r="M37" s="185" t="s">
        <v>61</v>
      </c>
    </row>
    <row r="38" spans="5:11" ht="12.75" customHeight="1">
      <c r="E38" s="132" t="s">
        <v>97</v>
      </c>
      <c r="F38" s="10" t="s">
        <v>3</v>
      </c>
      <c r="G38" s="10" t="s">
        <v>4</v>
      </c>
      <c r="H38" s="10">
        <v>2</v>
      </c>
      <c r="I38" s="10">
        <v>3</v>
      </c>
      <c r="J38" s="10" t="s">
        <v>0</v>
      </c>
      <c r="K38" s="10" t="s">
        <v>1</v>
      </c>
    </row>
    <row r="39" spans="5:13" ht="12.75" customHeight="1">
      <c r="E39" s="10" t="s">
        <v>3</v>
      </c>
      <c r="F39" s="189">
        <f aca="true" t="shared" si="1" ref="F39:K39">-F37-SUM(F40:F44)</f>
        <v>619104.9352613854</v>
      </c>
      <c r="G39" s="18">
        <f t="shared" si="1"/>
        <v>-186903.99358294858</v>
      </c>
      <c r="H39" s="64">
        <f t="shared" si="1"/>
        <v>-160361.90826459476</v>
      </c>
      <c r="I39" s="19">
        <f t="shared" si="1"/>
        <v>-146825.965767326</v>
      </c>
      <c r="J39" s="18">
        <f t="shared" si="1"/>
        <v>-85013.06764651602</v>
      </c>
      <c r="K39" s="19">
        <f t="shared" si="1"/>
        <v>-40000</v>
      </c>
      <c r="L39" s="10" t="s">
        <v>3</v>
      </c>
      <c r="M39" s="185" t="s">
        <v>54</v>
      </c>
    </row>
    <row r="40" spans="3:13" ht="12.75" customHeight="1">
      <c r="C40" s="52" t="s">
        <v>66</v>
      </c>
      <c r="D40" s="216">
        <f>D15/F40</f>
        <v>0.09999997719969128</v>
      </c>
      <c r="E40" s="10" t="s">
        <v>4</v>
      </c>
      <c r="F40" s="277">
        <f>-SUM(G40:K40)</f>
        <v>-169912.72496091924</v>
      </c>
      <c r="G40" s="74">
        <f aca="true" t="shared" si="2" ref="G40:K42">G$26*G15</f>
        <v>56071.198074884574</v>
      </c>
      <c r="H40" s="74">
        <f t="shared" si="2"/>
        <v>42763.175537225274</v>
      </c>
      <c r="I40" s="75">
        <f t="shared" si="2"/>
        <v>36706.491441831495</v>
      </c>
      <c r="J40" s="76">
        <f t="shared" si="2"/>
        <v>22371.8599069779</v>
      </c>
      <c r="K40" s="75">
        <f t="shared" si="2"/>
        <v>12000</v>
      </c>
      <c r="L40" s="10" t="s">
        <v>4</v>
      </c>
      <c r="M40" s="194" t="s">
        <v>55</v>
      </c>
    </row>
    <row r="41" spans="3:13" ht="12.75" customHeight="1">
      <c r="C41" s="217" t="s">
        <v>67</v>
      </c>
      <c r="D41" s="216">
        <f>D16/F41</f>
        <v>0.09999997684604202</v>
      </c>
      <c r="E41" s="10" t="s">
        <v>6</v>
      </c>
      <c r="F41" s="299">
        <f>-SUM(G41:K41)</f>
        <v>-145783.55603641918</v>
      </c>
      <c r="G41" s="76">
        <f t="shared" si="2"/>
        <v>46725.998395737144</v>
      </c>
      <c r="H41" s="76">
        <f t="shared" si="2"/>
        <v>21381.587768612637</v>
      </c>
      <c r="I41" s="81">
        <f t="shared" si="2"/>
        <v>32118.18001160256</v>
      </c>
      <c r="J41" s="76">
        <f t="shared" si="2"/>
        <v>33557.78986046685</v>
      </c>
      <c r="K41" s="81">
        <f t="shared" si="2"/>
        <v>12000</v>
      </c>
      <c r="L41" s="10" t="s">
        <v>6</v>
      </c>
      <c r="M41" s="194" t="s">
        <v>56</v>
      </c>
    </row>
    <row r="42" spans="3:13" ht="12.75" customHeight="1">
      <c r="C42" s="217" t="s">
        <v>68</v>
      </c>
      <c r="D42" s="216">
        <f>D17/F42</f>
        <v>0.09999996124930646</v>
      </c>
      <c r="E42" s="10" t="s">
        <v>7</v>
      </c>
      <c r="F42" s="300">
        <f>-SUM(G42:K42)</f>
        <v>-133478.15539972464</v>
      </c>
      <c r="G42" s="86">
        <f t="shared" si="2"/>
        <v>37380.798716589714</v>
      </c>
      <c r="H42" s="86">
        <f t="shared" si="2"/>
        <v>32072.381652918953</v>
      </c>
      <c r="I42" s="87">
        <f t="shared" si="2"/>
        <v>22941.557151144687</v>
      </c>
      <c r="J42" s="76">
        <f t="shared" si="2"/>
        <v>29083.417879071272</v>
      </c>
      <c r="K42" s="81">
        <f t="shared" si="2"/>
        <v>12000</v>
      </c>
      <c r="L42" s="10" t="s">
        <v>7</v>
      </c>
      <c r="M42" s="194" t="s">
        <v>57</v>
      </c>
    </row>
    <row r="43" spans="5:13" ht="12.75" customHeight="1">
      <c r="E43" s="10" t="s">
        <v>0</v>
      </c>
      <c r="F43" s="196">
        <f>-SUM(G43:K43)</f>
        <v>-125438.77712587542</v>
      </c>
      <c r="G43" s="76">
        <f aca="true" t="shared" si="3" ref="G43:I44">G$26*G18</f>
        <v>37380.798716589714</v>
      </c>
      <c r="H43" s="76">
        <f t="shared" si="3"/>
        <v>42763.175537225274</v>
      </c>
      <c r="I43" s="76">
        <f t="shared" si="3"/>
        <v>41294.802872060434</v>
      </c>
      <c r="J43" s="76"/>
      <c r="K43" s="81">
        <f>K$26*K18</f>
        <v>4000</v>
      </c>
      <c r="L43" s="10" t="s">
        <v>0</v>
      </c>
      <c r="M43" s="194" t="s">
        <v>58</v>
      </c>
    </row>
    <row r="44" spans="5:13" ht="12.75" customHeight="1" thickBot="1">
      <c r="E44" s="10" t="s">
        <v>1</v>
      </c>
      <c r="F44" s="226">
        <f>-SUM(G44:K44)</f>
        <v>-44491.721738446875</v>
      </c>
      <c r="G44" s="227">
        <f t="shared" si="3"/>
        <v>9345.199679147428</v>
      </c>
      <c r="H44" s="227">
        <f t="shared" si="3"/>
        <v>21381.587768612637</v>
      </c>
      <c r="I44" s="227">
        <f t="shared" si="3"/>
        <v>13764.934290686811</v>
      </c>
      <c r="J44" s="227">
        <f>J$26*J19</f>
        <v>0</v>
      </c>
      <c r="K44" s="228"/>
      <c r="L44" s="10" t="s">
        <v>1</v>
      </c>
      <c r="M44" s="194" t="s">
        <v>59</v>
      </c>
    </row>
    <row r="45" spans="6:11" ht="12.75" customHeight="1">
      <c r="F45" s="10" t="s">
        <v>3</v>
      </c>
      <c r="G45" s="10" t="s">
        <v>4</v>
      </c>
      <c r="H45" s="10">
        <v>2</v>
      </c>
      <c r="I45" s="10">
        <v>3</v>
      </c>
      <c r="J45" s="10" t="s">
        <v>0</v>
      </c>
      <c r="K45" s="10" t="s">
        <v>1</v>
      </c>
    </row>
    <row r="46" ht="12.75" customHeight="1"/>
    <row r="47" spans="6:11" ht="12.75" customHeight="1">
      <c r="F47" s="183" t="s">
        <v>54</v>
      </c>
      <c r="G47" s="184" t="s">
        <v>55</v>
      </c>
      <c r="H47" s="184" t="s">
        <v>56</v>
      </c>
      <c r="I47" s="184" t="s">
        <v>57</v>
      </c>
      <c r="J47" s="184" t="s">
        <v>58</v>
      </c>
      <c r="K47" s="184" t="s">
        <v>59</v>
      </c>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107244032" r:id="rId1"/>
  </oleObjects>
</worksheet>
</file>

<file path=xl/worksheets/sheet6.xml><?xml version="1.0" encoding="utf-8"?>
<worksheet xmlns="http://schemas.openxmlformats.org/spreadsheetml/2006/main" xmlns:r="http://schemas.openxmlformats.org/officeDocument/2006/relationships">
  <sheetPr codeName="Sheet3"/>
  <dimension ref="C7:M44"/>
  <sheetViews>
    <sheetView showGridLines="0" workbookViewId="0" topLeftCell="A1">
      <selection activeCell="B32" sqref="B32"/>
    </sheetView>
  </sheetViews>
  <sheetFormatPr defaultColWidth="9.00390625" defaultRowHeight="13.5"/>
  <cols>
    <col min="1" max="1" width="6.625" style="0" customWidth="1"/>
    <col min="2" max="2" width="8.00390625" style="0" customWidth="1"/>
    <col min="4" max="4" width="9.125" style="0" customWidth="1"/>
    <col min="5" max="5" width="4.875" style="0" customWidth="1"/>
    <col min="6" max="11" width="9.125" style="0" customWidth="1"/>
    <col min="12" max="12" width="3.125" style="0" customWidth="1"/>
    <col min="13" max="13" width="5.75390625" style="0" customWidth="1"/>
    <col min="21" max="21" width="9.25390625" style="0" customWidth="1"/>
  </cols>
  <sheetData>
    <row r="7" ht="15.75">
      <c r="I7" s="221" t="s">
        <v>69</v>
      </c>
    </row>
    <row r="11" spans="6:11" ht="13.5">
      <c r="F11" s="183" t="s">
        <v>54</v>
      </c>
      <c r="G11" s="184" t="s">
        <v>55</v>
      </c>
      <c r="H11" s="184" t="s">
        <v>56</v>
      </c>
      <c r="I11" s="184" t="s">
        <v>57</v>
      </c>
      <c r="J11" s="184" t="s">
        <v>58</v>
      </c>
      <c r="K11" s="184" t="s">
        <v>59</v>
      </c>
    </row>
    <row r="12" spans="5:11" ht="13.5">
      <c r="E12" s="132" t="s">
        <v>84</v>
      </c>
      <c r="F12" s="10" t="s">
        <v>3</v>
      </c>
      <c r="G12" s="10" t="s">
        <v>4</v>
      </c>
      <c r="H12" s="10">
        <v>2</v>
      </c>
      <c r="I12" s="10">
        <v>3</v>
      </c>
      <c r="J12" s="10" t="s">
        <v>0</v>
      </c>
      <c r="K12" s="10" t="s">
        <v>1</v>
      </c>
    </row>
    <row r="13" spans="3:13" ht="13.5">
      <c r="C13" s="186" t="s">
        <v>54</v>
      </c>
      <c r="D13" s="187"/>
      <c r="E13" s="10" t="s">
        <v>3</v>
      </c>
      <c r="F13" s="189">
        <f>GPE!F14</f>
        <v>309552.4676306927</v>
      </c>
      <c r="G13" s="18">
        <f>GPE!G14</f>
        <v>-100</v>
      </c>
      <c r="H13" s="64">
        <f>GPE!H14</f>
        <v>-750</v>
      </c>
      <c r="I13" s="19">
        <f>GPE!I14</f>
        <v>-3200</v>
      </c>
      <c r="J13" s="18">
        <f>GPE!J14</f>
        <v>-876</v>
      </c>
      <c r="K13" s="19">
        <f>GPE!K14</f>
        <v>-8766</v>
      </c>
      <c r="L13" s="10" t="s">
        <v>3</v>
      </c>
      <c r="M13" s="185" t="s">
        <v>54</v>
      </c>
    </row>
    <row r="14" spans="3:13" ht="13.5">
      <c r="C14" s="188" t="s">
        <v>55</v>
      </c>
      <c r="D14" s="162"/>
      <c r="E14" s="10" t="s">
        <v>4</v>
      </c>
      <c r="F14" s="189"/>
      <c r="G14" s="73">
        <f>GPE!G15</f>
        <v>30</v>
      </c>
      <c r="H14" s="74">
        <f>GPE!H15</f>
        <v>200</v>
      </c>
      <c r="I14" s="75">
        <f>GPE!I15</f>
        <v>800</v>
      </c>
      <c r="J14" s="76">
        <f>GPE!J15</f>
        <v>20</v>
      </c>
      <c r="K14" s="75">
        <f>GPE!K15</f>
        <v>600</v>
      </c>
      <c r="L14" s="10" t="s">
        <v>4</v>
      </c>
      <c r="M14" s="194" t="s">
        <v>55</v>
      </c>
    </row>
    <row r="15" spans="3:13" ht="13.5">
      <c r="C15" s="188" t="s">
        <v>56</v>
      </c>
      <c r="D15" s="195"/>
      <c r="E15" s="10" t="s">
        <v>6</v>
      </c>
      <c r="F15" s="196"/>
      <c r="G15" s="80">
        <f>GPE!G16</f>
        <v>25</v>
      </c>
      <c r="H15" s="76">
        <f>GPE!H16</f>
        <v>100</v>
      </c>
      <c r="I15" s="81">
        <f>GPE!I16</f>
        <v>700</v>
      </c>
      <c r="J15" s="76">
        <f>GPE!J16</f>
        <v>30</v>
      </c>
      <c r="K15" s="81">
        <f>GPE!K16</f>
        <v>600</v>
      </c>
      <c r="L15" s="10" t="s">
        <v>6</v>
      </c>
      <c r="M15" s="194" t="s">
        <v>56</v>
      </c>
    </row>
    <row r="16" spans="3:13" ht="13.5">
      <c r="C16" s="188" t="s">
        <v>57</v>
      </c>
      <c r="D16" s="200"/>
      <c r="E16" s="10" t="s">
        <v>7</v>
      </c>
      <c r="F16" s="409"/>
      <c r="G16" s="85">
        <f>GPE!G17</f>
        <v>20</v>
      </c>
      <c r="H16" s="86">
        <f>GPE!H17</f>
        <v>150</v>
      </c>
      <c r="I16" s="87">
        <f>GPE!I17</f>
        <v>500</v>
      </c>
      <c r="J16" s="76">
        <f>GPE!J17</f>
        <v>26</v>
      </c>
      <c r="K16" s="81">
        <f>GPE!K17</f>
        <v>600</v>
      </c>
      <c r="L16" s="10" t="s">
        <v>7</v>
      </c>
      <c r="M16" s="194" t="s">
        <v>57</v>
      </c>
    </row>
    <row r="17" spans="3:13" ht="13.5">
      <c r="C17" s="188" t="s">
        <v>58</v>
      </c>
      <c r="D17" s="195"/>
      <c r="E17" s="10" t="s">
        <v>0</v>
      </c>
      <c r="F17" s="196"/>
      <c r="G17" s="76">
        <f>GPE!G18</f>
        <v>20</v>
      </c>
      <c r="H17" s="76">
        <f>GPE!H18</f>
        <v>200</v>
      </c>
      <c r="I17" s="76">
        <f>GPE!I18</f>
        <v>900</v>
      </c>
      <c r="J17" s="76">
        <f>GPE!J18</f>
        <v>800</v>
      </c>
      <c r="K17" s="81">
        <f>GPE!K18</f>
        <v>200</v>
      </c>
      <c r="L17" s="10" t="s">
        <v>0</v>
      </c>
      <c r="M17" s="194" t="s">
        <v>58</v>
      </c>
    </row>
    <row r="18" spans="3:13" ht="14.25" thickBot="1">
      <c r="C18" s="188" t="s">
        <v>59</v>
      </c>
      <c r="D18" s="163"/>
      <c r="E18" s="10" t="s">
        <v>1</v>
      </c>
      <c r="F18" s="205"/>
      <c r="G18" s="93">
        <f>GPE!G19</f>
        <v>5</v>
      </c>
      <c r="H18" s="94">
        <f>GPE!H19</f>
        <v>100</v>
      </c>
      <c r="I18" s="94">
        <f>GPE!I19</f>
        <v>300</v>
      </c>
      <c r="J18" s="94">
        <f>GPE!J19</f>
        <v>0</v>
      </c>
      <c r="K18" s="95">
        <f>GPE!K19</f>
        <v>6766</v>
      </c>
      <c r="L18" s="10" t="s">
        <v>1</v>
      </c>
      <c r="M18" s="194" t="s">
        <v>59</v>
      </c>
    </row>
    <row r="19" spans="6:11" ht="13.5">
      <c r="F19" s="10" t="s">
        <v>3</v>
      </c>
      <c r="G19" s="10" t="s">
        <v>4</v>
      </c>
      <c r="H19" s="10">
        <v>2</v>
      </c>
      <c r="I19" s="10">
        <v>3</v>
      </c>
      <c r="J19" s="10" t="s">
        <v>0</v>
      </c>
      <c r="K19" s="10" t="s">
        <v>1</v>
      </c>
    </row>
    <row r="20" spans="6:11" ht="13.5">
      <c r="F20" s="183" t="s">
        <v>54</v>
      </c>
      <c r="G20" s="184" t="s">
        <v>55</v>
      </c>
      <c r="H20" s="184" t="s">
        <v>56</v>
      </c>
      <c r="I20" s="184" t="s">
        <v>57</v>
      </c>
      <c r="J20" s="184" t="s">
        <v>58</v>
      </c>
      <c r="K20" s="184" t="s">
        <v>59</v>
      </c>
    </row>
    <row r="24" spans="6:11" ht="13.5">
      <c r="F24" s="10" t="s">
        <v>3</v>
      </c>
      <c r="G24" s="10" t="s">
        <v>4</v>
      </c>
      <c r="H24" s="10">
        <v>2</v>
      </c>
      <c r="I24" s="10">
        <v>3</v>
      </c>
      <c r="J24" s="10" t="s">
        <v>0</v>
      </c>
      <c r="K24" s="10" t="s">
        <v>1</v>
      </c>
    </row>
    <row r="25" spans="5:11" ht="14.25" thickBot="1">
      <c r="E25" s="132" t="s">
        <v>73</v>
      </c>
      <c r="F25" s="398">
        <f>GPE!F26</f>
        <v>2</v>
      </c>
      <c r="G25" s="210">
        <f>GPE!G26</f>
        <v>1869.0399358294858</v>
      </c>
      <c r="H25" s="210">
        <f>GPE!H26</f>
        <v>213.81587768612636</v>
      </c>
      <c r="I25" s="211">
        <f>GPE!I26</f>
        <v>45.88311430228937</v>
      </c>
      <c r="J25" s="210">
        <f>GPE!J26</f>
        <v>1118.592995348895</v>
      </c>
      <c r="K25" s="211">
        <f>GPE!K26</f>
        <v>20</v>
      </c>
    </row>
    <row r="26" spans="6:11" ht="13.5">
      <c r="F26" s="183" t="s">
        <v>54</v>
      </c>
      <c r="G26" s="184" t="s">
        <v>55</v>
      </c>
      <c r="H26" s="184" t="s">
        <v>56</v>
      </c>
      <c r="I26" s="184" t="s">
        <v>57</v>
      </c>
      <c r="J26" s="184" t="s">
        <v>58</v>
      </c>
      <c r="K26" s="184" t="s">
        <v>59</v>
      </c>
    </row>
    <row r="35" spans="6:11" ht="13.5">
      <c r="F35" s="183" t="s">
        <v>54</v>
      </c>
      <c r="G35" s="184" t="s">
        <v>55</v>
      </c>
      <c r="H35" s="184" t="s">
        <v>56</v>
      </c>
      <c r="I35" s="184" t="s">
        <v>57</v>
      </c>
      <c r="J35" s="184" t="s">
        <v>58</v>
      </c>
      <c r="K35" s="184" t="s">
        <v>59</v>
      </c>
    </row>
    <row r="36" spans="4:11" ht="15.75">
      <c r="D36" s="13" t="s">
        <v>23</v>
      </c>
      <c r="E36" s="132" t="s">
        <v>83</v>
      </c>
      <c r="F36" s="10" t="s">
        <v>3</v>
      </c>
      <c r="G36" s="10" t="s">
        <v>4</v>
      </c>
      <c r="H36" s="10">
        <v>2</v>
      </c>
      <c r="I36" s="10">
        <v>3</v>
      </c>
      <c r="J36" s="10" t="s">
        <v>0</v>
      </c>
      <c r="K36" s="10" t="s">
        <v>1</v>
      </c>
    </row>
    <row r="37" spans="3:13" ht="13.5">
      <c r="C37" s="186" t="s">
        <v>54</v>
      </c>
      <c r="D37" s="187">
        <v>0</v>
      </c>
      <c r="E37" s="10" t="s">
        <v>3</v>
      </c>
      <c r="F37" s="189">
        <f>-F13-(G25*(G37+G13)+H25*(H37+H13)+I25*(I37+I13)+J25*(J41+J17)+K25*(K42+K18))/F25</f>
        <v>-1747827.2771790111</v>
      </c>
      <c r="G37" s="15">
        <f>IF(G13&lt;0,D38/G25-G13,0)</f>
        <v>709.0221284339551</v>
      </c>
      <c r="H37" s="16">
        <f>IF(H13&lt;0,D39/H25-H13,0)</f>
        <v>5283.704347465611</v>
      </c>
      <c r="I37" s="17">
        <f>IF(I13&lt;0,D40/I25-I13,0)</f>
        <v>22353.6525901587</v>
      </c>
      <c r="J37" s="236">
        <f>-J13</f>
        <v>876</v>
      </c>
      <c r="K37" s="237">
        <f>-K13</f>
        <v>8766</v>
      </c>
      <c r="L37" s="10" t="s">
        <v>3</v>
      </c>
      <c r="M37" s="185" t="s">
        <v>54</v>
      </c>
    </row>
    <row r="38" spans="3:13" ht="13.5">
      <c r="C38" s="188" t="s">
        <v>55</v>
      </c>
      <c r="D38" s="162">
        <v>1138286.6798469364</v>
      </c>
      <c r="E38" s="10" t="s">
        <v>4</v>
      </c>
      <c r="F38" s="189"/>
      <c r="G38" s="26">
        <f aca="true" t="shared" si="0" ref="G38:I40">IF(G14&gt;0,$D38/G$25-G14,0)</f>
        <v>579.0221284339551</v>
      </c>
      <c r="H38" s="26">
        <f t="shared" si="0"/>
        <v>5123.677044779145</v>
      </c>
      <c r="I38" s="27">
        <f t="shared" si="0"/>
        <v>24008.40058823428</v>
      </c>
      <c r="J38" s="219">
        <f aca="true" t="shared" si="1" ref="J38:K40">IF(J14&gt;0,$D38/J$25-J14,0)</f>
        <v>997.6057641876246</v>
      </c>
      <c r="K38" s="218">
        <f t="shared" si="1"/>
        <v>56314.333992346816</v>
      </c>
      <c r="L38" s="10" t="s">
        <v>4</v>
      </c>
      <c r="M38" s="194" t="s">
        <v>55</v>
      </c>
    </row>
    <row r="39" spans="3:13" ht="13.5">
      <c r="C39" s="188" t="s">
        <v>56</v>
      </c>
      <c r="D39" s="195">
        <v>969377.9742227664</v>
      </c>
      <c r="E39" s="10" t="s">
        <v>6</v>
      </c>
      <c r="F39" s="196"/>
      <c r="G39" s="28">
        <f t="shared" si="0"/>
        <v>493.65022016908017</v>
      </c>
      <c r="H39" s="28">
        <f t="shared" si="0"/>
        <v>4433.704347465611</v>
      </c>
      <c r="I39" s="36">
        <f t="shared" si="0"/>
        <v>20427.118090464894</v>
      </c>
      <c r="J39" s="219">
        <f t="shared" si="1"/>
        <v>836.6047241967684</v>
      </c>
      <c r="K39" s="220">
        <f t="shared" si="1"/>
        <v>47868.89871113832</v>
      </c>
      <c r="L39" s="10" t="s">
        <v>6</v>
      </c>
      <c r="M39" s="194" t="s">
        <v>56</v>
      </c>
    </row>
    <row r="40" spans="3:13" ht="13.5">
      <c r="C40" s="188" t="s">
        <v>57</v>
      </c>
      <c r="D40" s="200">
        <v>878829.2311005925</v>
      </c>
      <c r="E40" s="10" t="s">
        <v>7</v>
      </c>
      <c r="F40" s="409"/>
      <c r="G40" s="39">
        <f t="shared" si="0"/>
        <v>450.20355972787996</v>
      </c>
      <c r="H40" s="39">
        <f t="shared" si="0"/>
        <v>3960.2150158870836</v>
      </c>
      <c r="I40" s="40">
        <f t="shared" si="0"/>
        <v>18653.6525901587</v>
      </c>
      <c r="J40" s="219">
        <f t="shared" si="1"/>
        <v>759.6559398769353</v>
      </c>
      <c r="K40" s="220">
        <f t="shared" si="1"/>
        <v>43341.46155502963</v>
      </c>
      <c r="L40" s="10" t="s">
        <v>7</v>
      </c>
      <c r="M40" s="194" t="s">
        <v>57</v>
      </c>
    </row>
    <row r="41" spans="3:13" ht="13.5">
      <c r="C41" s="188" t="s">
        <v>58</v>
      </c>
      <c r="D41" s="195">
        <v>70745.46402652234</v>
      </c>
      <c r="E41" s="10" t="s">
        <v>0</v>
      </c>
      <c r="F41" s="196"/>
      <c r="G41" s="28">
        <f aca="true" t="shared" si="2" ref="G41:I42">IF(G17&gt;0,$D41/G$25-G17,0)</f>
        <v>17.851231892016948</v>
      </c>
      <c r="H41" s="28">
        <f t="shared" si="2"/>
        <v>130.87095678822328</v>
      </c>
      <c r="I41" s="28">
        <f t="shared" si="2"/>
        <v>641.8627332145247</v>
      </c>
      <c r="J41" s="382">
        <f>IF(J17&gt;0,-$D41/J$25-J17,0)</f>
        <v>-863.245044730909</v>
      </c>
      <c r="K41" s="220">
        <f>IF(K17&gt;0,$D41/K$25-K17,0)</f>
        <v>3337.273201326117</v>
      </c>
      <c r="L41" s="10" t="s">
        <v>0</v>
      </c>
      <c r="M41" s="194" t="s">
        <v>58</v>
      </c>
    </row>
    <row r="42" spans="3:13" ht="14.25" thickBot="1">
      <c r="C42" s="188" t="s">
        <v>59</v>
      </c>
      <c r="D42" s="163">
        <v>39198.802047136865</v>
      </c>
      <c r="E42" s="10" t="s">
        <v>1</v>
      </c>
      <c r="F42" s="205"/>
      <c r="G42" s="231">
        <f t="shared" si="2"/>
        <v>15.972693678554446</v>
      </c>
      <c r="H42" s="232">
        <f t="shared" si="2"/>
        <v>83.32970624697586</v>
      </c>
      <c r="I42" s="232">
        <f t="shared" si="2"/>
        <v>554.3186887639188</v>
      </c>
      <c r="J42" s="233">
        <f>IF(J18&gt;0,$D42/J$25-J18,0)</f>
        <v>0</v>
      </c>
      <c r="K42" s="383">
        <f>IF(K18&gt;0,-$D42/K$25-K18,0)</f>
        <v>-8725.940102356843</v>
      </c>
      <c r="L42" s="10" t="s">
        <v>1</v>
      </c>
      <c r="M42" s="194" t="s">
        <v>59</v>
      </c>
    </row>
    <row r="43" spans="6:11" ht="13.5">
      <c r="F43" s="10" t="s">
        <v>3</v>
      </c>
      <c r="G43" s="10" t="s">
        <v>4</v>
      </c>
      <c r="H43" s="10">
        <v>2</v>
      </c>
      <c r="I43" s="10">
        <v>3</v>
      </c>
      <c r="J43" s="10" t="s">
        <v>0</v>
      </c>
      <c r="K43" s="10" t="s">
        <v>1</v>
      </c>
    </row>
    <row r="44" spans="6:11" ht="13.5">
      <c r="F44" s="183" t="s">
        <v>54</v>
      </c>
      <c r="G44" s="184" t="s">
        <v>55</v>
      </c>
      <c r="H44" s="184" t="s">
        <v>56</v>
      </c>
      <c r="I44" s="184" t="s">
        <v>57</v>
      </c>
      <c r="J44" s="184" t="s">
        <v>58</v>
      </c>
      <c r="K44" s="184" t="s">
        <v>59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104511080" r:id="rId1"/>
  </oleObjects>
</worksheet>
</file>

<file path=xl/worksheets/sheet7.xml><?xml version="1.0" encoding="utf-8"?>
<worksheet xmlns="http://schemas.openxmlformats.org/spreadsheetml/2006/main" xmlns:r="http://schemas.openxmlformats.org/officeDocument/2006/relationships">
  <sheetPr codeName="Sheet2"/>
  <dimension ref="B4:Q73"/>
  <sheetViews>
    <sheetView showGridLines="0" workbookViewId="0" topLeftCell="A1">
      <selection activeCell="A2" sqref="A2"/>
    </sheetView>
  </sheetViews>
  <sheetFormatPr defaultColWidth="9.00390625" defaultRowHeight="13.5"/>
  <cols>
    <col min="1" max="1" width="7.00390625" style="0" customWidth="1"/>
    <col min="2" max="2" width="5.50390625" style="0" customWidth="1"/>
    <col min="3" max="3" width="3.125" style="0" customWidth="1"/>
    <col min="4" max="4" width="9.125" style="0" customWidth="1"/>
    <col min="5" max="5" width="3.125" style="0" customWidth="1"/>
    <col min="6" max="6" width="9.125" style="0" customWidth="1"/>
    <col min="7" max="7" width="3.125" style="0" customWidth="1"/>
    <col min="8" max="11" width="9.125" style="0" customWidth="1"/>
    <col min="14" max="14" width="3.125" style="0" customWidth="1"/>
    <col min="17" max="17" width="3.125" style="0" customWidth="1"/>
    <col min="19" max="19" width="3.125" style="0" customWidth="1"/>
    <col min="25" max="25" width="9.125" style="0" customWidth="1"/>
    <col min="26" max="26" width="3.875" style="0" customWidth="1"/>
    <col min="29" max="29" width="9.125" style="0" customWidth="1"/>
    <col min="30" max="30" width="6.375" style="0" customWidth="1"/>
    <col min="31" max="31" width="10.125" style="0" customWidth="1"/>
    <col min="32" max="34" width="9.125" style="0" customWidth="1"/>
    <col min="35" max="35" width="11.625" style="0" customWidth="1"/>
    <col min="36" max="37" width="9.125" style="0" customWidth="1"/>
    <col min="38" max="38" width="6.125" style="0" customWidth="1"/>
  </cols>
  <sheetData>
    <row r="1" ht="13.5" customHeight="1"/>
    <row r="2" ht="13.5" customHeight="1"/>
    <row r="3" ht="13.5" customHeight="1"/>
    <row r="4" ht="13.5" customHeight="1">
      <c r="I4" s="221" t="s">
        <v>70</v>
      </c>
    </row>
    <row r="5" ht="13.5" customHeight="1"/>
    <row r="6" ht="13.5" customHeight="1"/>
    <row r="7" ht="13.5" customHeight="1"/>
    <row r="8" ht="13.5" customHeight="1"/>
    <row r="9" ht="13.5" customHeight="1"/>
    <row r="10" spans="4:6" ht="13.5" customHeight="1">
      <c r="D10" s="452" t="s">
        <v>118</v>
      </c>
      <c r="F10" s="214" t="s">
        <v>71</v>
      </c>
    </row>
    <row r="11" spans="4:7" ht="13.5" customHeight="1" thickBot="1">
      <c r="D11" s="108">
        <f>(1-D14)^-F11</f>
        <v>0.5131581182307065</v>
      </c>
      <c r="F11" s="215">
        <v>7</v>
      </c>
      <c r="G11" s="301" t="s">
        <v>72</v>
      </c>
    </row>
    <row r="12" ht="13.5" customHeight="1"/>
    <row r="13" spans="4:13" ht="13.5" customHeight="1">
      <c r="D13" s="53" t="s">
        <v>104</v>
      </c>
      <c r="F13" s="451" t="s">
        <v>165</v>
      </c>
      <c r="H13" s="183" t="s">
        <v>54</v>
      </c>
      <c r="I13" s="184" t="s">
        <v>55</v>
      </c>
      <c r="J13" s="184" t="s">
        <v>56</v>
      </c>
      <c r="K13" s="184" t="s">
        <v>57</v>
      </c>
      <c r="L13" s="184" t="s">
        <v>58</v>
      </c>
      <c r="M13" s="184" t="s">
        <v>59</v>
      </c>
    </row>
    <row r="14" spans="4:13" ht="13.5" customHeight="1" thickBot="1">
      <c r="D14" s="108">
        <v>-0.1</v>
      </c>
      <c r="F14" s="108">
        <f>(1-1/D11)/F11</f>
        <v>-0.13553101428571446</v>
      </c>
      <c r="G14" s="132" t="s">
        <v>79</v>
      </c>
      <c r="H14" s="222">
        <v>1</v>
      </c>
      <c r="I14" s="223">
        <v>0.1</v>
      </c>
      <c r="J14" s="223">
        <v>0.3333333333333333</v>
      </c>
      <c r="K14" s="224">
        <v>1</v>
      </c>
      <c r="L14" s="223">
        <v>1</v>
      </c>
      <c r="M14" s="224">
        <v>1</v>
      </c>
    </row>
    <row r="15" spans="8:13" ht="13.5" customHeight="1">
      <c r="H15" s="10" t="s">
        <v>3</v>
      </c>
      <c r="I15" s="10" t="s">
        <v>4</v>
      </c>
      <c r="J15" s="10">
        <v>2</v>
      </c>
      <c r="K15" s="10">
        <v>3</v>
      </c>
      <c r="L15" s="10" t="s">
        <v>0</v>
      </c>
      <c r="M15" s="10" t="s">
        <v>1</v>
      </c>
    </row>
    <row r="16" ht="13.5" customHeight="1"/>
    <row r="17" spans="15:17" ht="13.5" customHeight="1">
      <c r="O17" s="137"/>
      <c r="P17" s="137"/>
      <c r="Q17" s="137"/>
    </row>
    <row r="18" ht="13.5" customHeight="1"/>
    <row r="19" ht="13.5" customHeight="1"/>
    <row r="20" ht="13.5" customHeight="1"/>
    <row r="21" ht="13.5" customHeight="1"/>
    <row r="22" ht="13.5" customHeight="1"/>
    <row r="23" spans="8:14" ht="13.5" customHeight="1">
      <c r="H23" s="183" t="s">
        <v>54</v>
      </c>
      <c r="I23" s="184" t="s">
        <v>55</v>
      </c>
      <c r="J23" s="184" t="s">
        <v>56</v>
      </c>
      <c r="K23" s="184" t="s">
        <v>57</v>
      </c>
      <c r="L23" s="184" t="s">
        <v>58</v>
      </c>
      <c r="M23" s="184" t="s">
        <v>59</v>
      </c>
      <c r="N23" s="185" t="s">
        <v>60</v>
      </c>
    </row>
    <row r="24" spans="8:14" ht="13.5" customHeight="1" thickBot="1">
      <c r="H24" s="88">
        <v>0</v>
      </c>
      <c r="I24" s="3">
        <v>0</v>
      </c>
      <c r="J24" s="4">
        <v>0</v>
      </c>
      <c r="K24" s="5">
        <v>0</v>
      </c>
      <c r="L24" s="4">
        <v>0</v>
      </c>
      <c r="M24" s="5">
        <v>0</v>
      </c>
      <c r="N24" s="185" t="s">
        <v>61</v>
      </c>
    </row>
    <row r="25" spans="4:13" ht="13.5" customHeight="1">
      <c r="D25" s="59" t="s">
        <v>200</v>
      </c>
      <c r="E25" s="520"/>
      <c r="F25" s="59" t="s">
        <v>201</v>
      </c>
      <c r="G25" s="132" t="s">
        <v>84</v>
      </c>
      <c r="H25" s="10" t="s">
        <v>3</v>
      </c>
      <c r="I25" s="10" t="s">
        <v>4</v>
      </c>
      <c r="J25" s="10">
        <v>2</v>
      </c>
      <c r="K25" s="10">
        <v>3</v>
      </c>
      <c r="L25" s="10" t="s">
        <v>0</v>
      </c>
      <c r="M25" s="10" t="s">
        <v>1</v>
      </c>
    </row>
    <row r="26" spans="2:14" ht="13.5" customHeight="1">
      <c r="B26" s="186" t="s">
        <v>54</v>
      </c>
      <c r="C26" s="10" t="s">
        <v>3</v>
      </c>
      <c r="D26" s="421"/>
      <c r="F26" s="421"/>
      <c r="G26" s="10" t="s">
        <v>3</v>
      </c>
      <c r="H26" s="189">
        <f>GPE!F14</f>
        <v>309552.4676306927</v>
      </c>
      <c r="I26" s="18">
        <f>GPE!G14</f>
        <v>-100</v>
      </c>
      <c r="J26" s="64">
        <f>GPE!H14</f>
        <v>-750</v>
      </c>
      <c r="K26" s="19">
        <f>GPE!I14</f>
        <v>-3200</v>
      </c>
      <c r="L26" s="18">
        <f>GPE!J14</f>
        <v>-876</v>
      </c>
      <c r="M26" s="19">
        <f>GPE!K14</f>
        <v>-8766</v>
      </c>
      <c r="N26" s="10" t="s">
        <v>3</v>
      </c>
    </row>
    <row r="27" spans="2:14" ht="13.5" customHeight="1">
      <c r="B27" s="188" t="s">
        <v>55</v>
      </c>
      <c r="C27" s="10" t="s">
        <v>4</v>
      </c>
      <c r="D27" s="422">
        <f>GPE!D15</f>
        <v>-16991.26862202934</v>
      </c>
      <c r="F27" s="422"/>
      <c r="G27" s="10" t="s">
        <v>4</v>
      </c>
      <c r="H27" s="277">
        <f>GPE!F15</f>
        <v>-84956.36248045962</v>
      </c>
      <c r="I27" s="74">
        <f>GPE!G15</f>
        <v>30</v>
      </c>
      <c r="J27" s="74">
        <f>GPE!H15</f>
        <v>200</v>
      </c>
      <c r="K27" s="75">
        <f>GPE!I15</f>
        <v>800</v>
      </c>
      <c r="L27" s="76">
        <f>GPE!J15</f>
        <v>20</v>
      </c>
      <c r="M27" s="75">
        <f>GPE!K15</f>
        <v>600</v>
      </c>
      <c r="N27" s="10" t="s">
        <v>4</v>
      </c>
    </row>
    <row r="28" spans="2:14" ht="13.5" customHeight="1">
      <c r="B28" s="188" t="s">
        <v>56</v>
      </c>
      <c r="C28" s="10" t="s">
        <v>6</v>
      </c>
      <c r="D28" s="308">
        <f>GPE!D16</f>
        <v>-14578.352228175587</v>
      </c>
      <c r="F28" s="308"/>
      <c r="G28" s="10" t="s">
        <v>6</v>
      </c>
      <c r="H28" s="299">
        <f>GPE!F16</f>
        <v>-72891.77801820959</v>
      </c>
      <c r="I28" s="76">
        <f>GPE!G16</f>
        <v>25</v>
      </c>
      <c r="J28" s="76">
        <f>GPE!H16</f>
        <v>100</v>
      </c>
      <c r="K28" s="81">
        <f>GPE!I16</f>
        <v>700</v>
      </c>
      <c r="L28" s="76">
        <f>GPE!J16</f>
        <v>30</v>
      </c>
      <c r="M28" s="81">
        <f>GPE!K16</f>
        <v>600</v>
      </c>
      <c r="N28" s="10" t="s">
        <v>6</v>
      </c>
    </row>
    <row r="29" spans="2:14" ht="13.5" customHeight="1">
      <c r="B29" s="188" t="s">
        <v>57</v>
      </c>
      <c r="C29" s="10" t="s">
        <v>7</v>
      </c>
      <c r="D29" s="423">
        <f>GPE!D17</f>
        <v>-13347.81036760137</v>
      </c>
      <c r="F29" s="423"/>
      <c r="G29" s="10" t="s">
        <v>7</v>
      </c>
      <c r="H29" s="300">
        <f>GPE!F17</f>
        <v>-66739.07769986232</v>
      </c>
      <c r="I29" s="86">
        <f>GPE!G17</f>
        <v>20</v>
      </c>
      <c r="J29" s="86">
        <f>GPE!H17</f>
        <v>150</v>
      </c>
      <c r="K29" s="87">
        <f>GPE!I17</f>
        <v>500</v>
      </c>
      <c r="L29" s="76">
        <f>GPE!J17</f>
        <v>26</v>
      </c>
      <c r="M29" s="81">
        <f>GPE!K17</f>
        <v>600</v>
      </c>
      <c r="N29" s="10" t="s">
        <v>7</v>
      </c>
    </row>
    <row r="30" spans="2:14" ht="13.5" customHeight="1">
      <c r="B30" s="188" t="s">
        <v>58</v>
      </c>
      <c r="C30" s="10" t="s">
        <v>0</v>
      </c>
      <c r="D30" s="308"/>
      <c r="F30" s="308">
        <f>GPE!D18</f>
        <v>40425.7094793594</v>
      </c>
      <c r="G30" s="10" t="s">
        <v>0</v>
      </c>
      <c r="H30" s="196">
        <f>GPE!F18</f>
        <v>-62719.38856293771</v>
      </c>
      <c r="I30" s="76">
        <f>GPE!G18</f>
        <v>20</v>
      </c>
      <c r="J30" s="76">
        <f>GPE!H18</f>
        <v>200</v>
      </c>
      <c r="K30" s="76">
        <f>GPE!I18</f>
        <v>900</v>
      </c>
      <c r="L30" s="76">
        <f>GPE!J18</f>
        <v>800</v>
      </c>
      <c r="M30" s="81">
        <f>GPE!K18</f>
        <v>200</v>
      </c>
      <c r="N30" s="10" t="s">
        <v>0</v>
      </c>
    </row>
    <row r="31" spans="2:14" ht="13.5" customHeight="1" thickBot="1">
      <c r="B31" s="188" t="s">
        <v>59</v>
      </c>
      <c r="C31" s="10" t="s">
        <v>1</v>
      </c>
      <c r="D31" s="331"/>
      <c r="F31" s="331">
        <f>GPE!D19</f>
        <v>4491.721738446875</v>
      </c>
      <c r="G31" s="10" t="s">
        <v>1</v>
      </c>
      <c r="H31" s="205">
        <f>GPE!F19</f>
        <v>-22245.860869223437</v>
      </c>
      <c r="I31" s="93">
        <f>GPE!G19</f>
        <v>5</v>
      </c>
      <c r="J31" s="94">
        <f>GPE!H19</f>
        <v>100</v>
      </c>
      <c r="K31" s="94">
        <f>GPE!I19</f>
        <v>300</v>
      </c>
      <c r="L31" s="94">
        <f>GPE!J19</f>
        <v>0</v>
      </c>
      <c r="M31" s="95">
        <f>GPE!K19</f>
        <v>6766</v>
      </c>
      <c r="N31" s="10" t="s">
        <v>1</v>
      </c>
    </row>
    <row r="32" spans="8:13" ht="13.5" customHeight="1">
      <c r="H32" s="10" t="s">
        <v>3</v>
      </c>
      <c r="I32" s="10" t="s">
        <v>4</v>
      </c>
      <c r="J32" s="10">
        <v>2</v>
      </c>
      <c r="K32" s="10">
        <v>3</v>
      </c>
      <c r="L32" s="10" t="s">
        <v>0</v>
      </c>
      <c r="M32" s="10" t="s">
        <v>1</v>
      </c>
    </row>
    <row r="33" spans="8:13" ht="13.5" customHeight="1">
      <c r="H33" s="183" t="s">
        <v>54</v>
      </c>
      <c r="I33" s="184" t="s">
        <v>55</v>
      </c>
      <c r="J33" s="184" t="s">
        <v>56</v>
      </c>
      <c r="K33" s="184" t="s">
        <v>57</v>
      </c>
      <c r="L33" s="184" t="s">
        <v>58</v>
      </c>
      <c r="M33" s="184" t="s">
        <v>59</v>
      </c>
    </row>
    <row r="34" ht="13.5" customHeight="1"/>
    <row r="35" ht="13.5" customHeight="1"/>
    <row r="36" ht="13.5" customHeight="1"/>
    <row r="37" ht="13.5" customHeight="1"/>
    <row r="38" ht="13.5" customHeight="1"/>
    <row r="39" ht="13.5" customHeight="1"/>
    <row r="40" ht="13.5" customHeight="1"/>
    <row r="41" ht="13.5" customHeight="1"/>
    <row r="42" ht="13.5" customHeight="1"/>
    <row r="43" spans="8:13" ht="13.5" customHeight="1" thickBot="1">
      <c r="H43" s="55">
        <f aca="true" t="shared" si="0" ref="H43:M43">H24/H$14/3</f>
        <v>0</v>
      </c>
      <c r="I43" s="56">
        <f t="shared" si="0"/>
        <v>0</v>
      </c>
      <c r="J43" s="57">
        <f t="shared" si="0"/>
        <v>0</v>
      </c>
      <c r="K43" s="58">
        <f t="shared" si="0"/>
        <v>0</v>
      </c>
      <c r="L43" s="57">
        <f t="shared" si="0"/>
        <v>0</v>
      </c>
      <c r="M43" s="58">
        <f t="shared" si="0"/>
        <v>0</v>
      </c>
    </row>
    <row r="44" spans="7:13" ht="13.5" customHeight="1">
      <c r="G44" s="132" t="s">
        <v>80</v>
      </c>
      <c r="H44" s="10" t="s">
        <v>3</v>
      </c>
      <c r="I44" s="10" t="s">
        <v>4</v>
      </c>
      <c r="J44" s="10">
        <v>2</v>
      </c>
      <c r="K44" s="10">
        <v>3</v>
      </c>
      <c r="L44" s="10" t="s">
        <v>0</v>
      </c>
      <c r="M44" s="10" t="s">
        <v>1</v>
      </c>
    </row>
    <row r="45" spans="3:14" ht="13.5" customHeight="1">
      <c r="C45" s="10" t="s">
        <v>3</v>
      </c>
      <c r="D45" s="244"/>
      <c r="F45" s="244"/>
      <c r="G45" s="10" t="s">
        <v>3</v>
      </c>
      <c r="H45" s="60">
        <f aca="true" t="shared" si="1" ref="H45:M50">H26/H$14/3</f>
        <v>103184.15587689757</v>
      </c>
      <c r="I45" s="61">
        <f t="shared" si="1"/>
        <v>-333.3333333333333</v>
      </c>
      <c r="J45" s="62">
        <f t="shared" si="1"/>
        <v>-750</v>
      </c>
      <c r="K45" s="63">
        <f t="shared" si="1"/>
        <v>-1066.6666666666667</v>
      </c>
      <c r="L45" s="61">
        <f t="shared" si="1"/>
        <v>-292</v>
      </c>
      <c r="M45" s="63">
        <f t="shared" si="1"/>
        <v>-2922</v>
      </c>
      <c r="N45" s="10" t="s">
        <v>3</v>
      </c>
    </row>
    <row r="46" spans="3:14" ht="13.5" customHeight="1">
      <c r="C46" s="10" t="s">
        <v>4</v>
      </c>
      <c r="D46" s="243">
        <f>D27/D14</f>
        <v>169912.6862202934</v>
      </c>
      <c r="F46" s="243"/>
      <c r="G46" s="10" t="s">
        <v>4</v>
      </c>
      <c r="H46" s="60">
        <f t="shared" si="1"/>
        <v>-28318.78749348654</v>
      </c>
      <c r="I46" s="69">
        <f t="shared" si="1"/>
        <v>100</v>
      </c>
      <c r="J46" s="70">
        <f t="shared" si="1"/>
        <v>200</v>
      </c>
      <c r="K46" s="71">
        <f t="shared" si="1"/>
        <v>266.6666666666667</v>
      </c>
      <c r="L46" s="72">
        <f t="shared" si="1"/>
        <v>6.666666666666667</v>
      </c>
      <c r="M46" s="71">
        <f t="shared" si="1"/>
        <v>200</v>
      </c>
      <c r="N46" s="10" t="s">
        <v>4</v>
      </c>
    </row>
    <row r="47" spans="3:14" ht="13.5" customHeight="1">
      <c r="C47" s="10" t="s">
        <v>6</v>
      </c>
      <c r="D47" s="243">
        <f>D28/D14</f>
        <v>145783.52228175587</v>
      </c>
      <c r="F47" s="243"/>
      <c r="G47" s="10" t="s">
        <v>6</v>
      </c>
      <c r="H47" s="77">
        <f t="shared" si="1"/>
        <v>-24297.259339403197</v>
      </c>
      <c r="I47" s="78">
        <f t="shared" si="1"/>
        <v>83.33333333333333</v>
      </c>
      <c r="J47" s="72">
        <f t="shared" si="1"/>
        <v>100</v>
      </c>
      <c r="K47" s="79">
        <f t="shared" si="1"/>
        <v>233.33333333333334</v>
      </c>
      <c r="L47" s="72">
        <f t="shared" si="1"/>
        <v>10</v>
      </c>
      <c r="M47" s="79">
        <f t="shared" si="1"/>
        <v>200</v>
      </c>
      <c r="N47" s="10" t="s">
        <v>6</v>
      </c>
    </row>
    <row r="48" spans="3:14" ht="13.5">
      <c r="C48" s="10" t="s">
        <v>7</v>
      </c>
      <c r="D48" s="450">
        <f>D29/D14</f>
        <v>133478.1036760137</v>
      </c>
      <c r="F48" s="242"/>
      <c r="G48" s="10" t="s">
        <v>7</v>
      </c>
      <c r="H48" s="411">
        <f t="shared" si="1"/>
        <v>-22246.35923328744</v>
      </c>
      <c r="I48" s="82">
        <f t="shared" si="1"/>
        <v>66.66666666666667</v>
      </c>
      <c r="J48" s="83">
        <f t="shared" si="1"/>
        <v>150</v>
      </c>
      <c r="K48" s="84">
        <f t="shared" si="1"/>
        <v>166.66666666666666</v>
      </c>
      <c r="L48" s="72">
        <f t="shared" si="1"/>
        <v>8.666666666666666</v>
      </c>
      <c r="M48" s="79">
        <f t="shared" si="1"/>
        <v>200</v>
      </c>
      <c r="N48" s="10" t="s">
        <v>7</v>
      </c>
    </row>
    <row r="49" spans="3:14" ht="13.5">
      <c r="C49" s="10" t="s">
        <v>0</v>
      </c>
      <c r="D49" s="247"/>
      <c r="F49" s="247">
        <f>F30/F14/3</f>
        <v>-99425.48252986954</v>
      </c>
      <c r="G49" s="10" t="s">
        <v>0</v>
      </c>
      <c r="H49" s="77">
        <f t="shared" si="1"/>
        <v>-20906.46285431257</v>
      </c>
      <c r="I49" s="72">
        <f t="shared" si="1"/>
        <v>66.66666666666667</v>
      </c>
      <c r="J49" s="72">
        <f t="shared" si="1"/>
        <v>200</v>
      </c>
      <c r="K49" s="72">
        <f t="shared" si="1"/>
        <v>300</v>
      </c>
      <c r="L49" s="72">
        <f t="shared" si="1"/>
        <v>266.6666666666667</v>
      </c>
      <c r="M49" s="79">
        <f t="shared" si="1"/>
        <v>66.66666666666667</v>
      </c>
      <c r="N49" s="10" t="s">
        <v>0</v>
      </c>
    </row>
    <row r="50" spans="3:14" ht="14.25" thickBot="1">
      <c r="C50" s="10" t="s">
        <v>1</v>
      </c>
      <c r="D50" s="248"/>
      <c r="F50" s="248">
        <f>F31/F14/3</f>
        <v>-11047.217401663815</v>
      </c>
      <c r="G50" s="10" t="s">
        <v>1</v>
      </c>
      <c r="H50" s="89">
        <f t="shared" si="1"/>
        <v>-7415.286956407813</v>
      </c>
      <c r="I50" s="90">
        <f t="shared" si="1"/>
        <v>16.666666666666668</v>
      </c>
      <c r="J50" s="91">
        <f t="shared" si="1"/>
        <v>100</v>
      </c>
      <c r="K50" s="91">
        <f t="shared" si="1"/>
        <v>100</v>
      </c>
      <c r="L50" s="91">
        <f t="shared" si="1"/>
        <v>0</v>
      </c>
      <c r="M50" s="92">
        <f t="shared" si="1"/>
        <v>2255.3333333333335</v>
      </c>
      <c r="N50" s="10" t="s">
        <v>1</v>
      </c>
    </row>
    <row r="53" spans="8:13" ht="14.25" thickBot="1">
      <c r="H53" s="55">
        <f aca="true" t="shared" si="2" ref="H53:M53">H43</f>
        <v>0</v>
      </c>
      <c r="I53" s="56">
        <f t="shared" si="2"/>
        <v>0</v>
      </c>
      <c r="J53" s="57">
        <f t="shared" si="2"/>
        <v>0</v>
      </c>
      <c r="K53" s="58">
        <f t="shared" si="2"/>
        <v>0</v>
      </c>
      <c r="L53" s="57">
        <f t="shared" si="2"/>
        <v>0</v>
      </c>
      <c r="M53" s="58">
        <f t="shared" si="2"/>
        <v>0</v>
      </c>
    </row>
    <row r="54" spans="7:13" ht="13.5">
      <c r="G54" s="132" t="s">
        <v>81</v>
      </c>
      <c r="H54" s="10" t="s">
        <v>3</v>
      </c>
      <c r="I54" s="10" t="s">
        <v>4</v>
      </c>
      <c r="J54" s="10">
        <v>2</v>
      </c>
      <c r="K54" s="10">
        <v>3</v>
      </c>
      <c r="L54" s="10" t="s">
        <v>0</v>
      </c>
      <c r="M54" s="10" t="s">
        <v>1</v>
      </c>
    </row>
    <row r="55" spans="6:14" ht="13.5">
      <c r="F55" s="244"/>
      <c r="G55" s="10" t="s">
        <v>3</v>
      </c>
      <c r="H55" s="60">
        <f aca="true" t="shared" si="3" ref="H55:M60">H45</f>
        <v>103184.15587689757</v>
      </c>
      <c r="I55" s="61">
        <f t="shared" si="3"/>
        <v>-333.3333333333333</v>
      </c>
      <c r="J55" s="62">
        <f t="shared" si="3"/>
        <v>-750</v>
      </c>
      <c r="K55" s="63">
        <f t="shared" si="3"/>
        <v>-1066.6666666666667</v>
      </c>
      <c r="L55" s="61">
        <f t="shared" si="3"/>
        <v>-292</v>
      </c>
      <c r="M55" s="63">
        <f t="shared" si="3"/>
        <v>-2922</v>
      </c>
      <c r="N55" s="10" t="s">
        <v>3</v>
      </c>
    </row>
    <row r="56" spans="6:14" ht="13.5">
      <c r="F56" s="243"/>
      <c r="G56" s="10" t="s">
        <v>4</v>
      </c>
      <c r="H56" s="60">
        <f t="shared" si="3"/>
        <v>-28318.78749348654</v>
      </c>
      <c r="I56" s="69">
        <f t="shared" si="3"/>
        <v>100</v>
      </c>
      <c r="J56" s="70">
        <f t="shared" si="3"/>
        <v>200</v>
      </c>
      <c r="K56" s="71">
        <f t="shared" si="3"/>
        <v>266.6666666666667</v>
      </c>
      <c r="L56" s="72">
        <f t="shared" si="3"/>
        <v>6.666666666666667</v>
      </c>
      <c r="M56" s="71">
        <f t="shared" si="3"/>
        <v>200</v>
      </c>
      <c r="N56" s="10" t="s">
        <v>4</v>
      </c>
    </row>
    <row r="57" spans="6:14" ht="13.5">
      <c r="F57" s="243"/>
      <c r="G57" s="10" t="s">
        <v>6</v>
      </c>
      <c r="H57" s="77">
        <f t="shared" si="3"/>
        <v>-24297.259339403197</v>
      </c>
      <c r="I57" s="78">
        <f t="shared" si="3"/>
        <v>83.33333333333333</v>
      </c>
      <c r="J57" s="72">
        <f t="shared" si="3"/>
        <v>100</v>
      </c>
      <c r="K57" s="79">
        <f t="shared" si="3"/>
        <v>233.33333333333334</v>
      </c>
      <c r="L57" s="72">
        <f t="shared" si="3"/>
        <v>10</v>
      </c>
      <c r="M57" s="79">
        <f t="shared" si="3"/>
        <v>200</v>
      </c>
      <c r="N57" s="10" t="s">
        <v>6</v>
      </c>
    </row>
    <row r="58" spans="6:14" ht="13.5">
      <c r="F58" s="242"/>
      <c r="G58" s="10" t="s">
        <v>7</v>
      </c>
      <c r="H58" s="411">
        <f t="shared" si="3"/>
        <v>-22246.35923328744</v>
      </c>
      <c r="I58" s="82">
        <f t="shared" si="3"/>
        <v>66.66666666666667</v>
      </c>
      <c r="J58" s="83">
        <f t="shared" si="3"/>
        <v>150</v>
      </c>
      <c r="K58" s="84">
        <f t="shared" si="3"/>
        <v>166.66666666666666</v>
      </c>
      <c r="L58" s="72">
        <f t="shared" si="3"/>
        <v>8.666666666666666</v>
      </c>
      <c r="M58" s="79">
        <f t="shared" si="3"/>
        <v>200</v>
      </c>
      <c r="N58" s="10" t="s">
        <v>7</v>
      </c>
    </row>
    <row r="59" spans="6:14" ht="13.5">
      <c r="F59" s="247">
        <f>F49</f>
        <v>-99425.48252986954</v>
      </c>
      <c r="G59" s="10" t="s">
        <v>0</v>
      </c>
      <c r="H59" s="77">
        <f t="shared" si="3"/>
        <v>-20906.46285431257</v>
      </c>
      <c r="I59" s="72">
        <f t="shared" si="3"/>
        <v>66.66666666666667</v>
      </c>
      <c r="J59" s="72">
        <f t="shared" si="3"/>
        <v>200</v>
      </c>
      <c r="K59" s="72">
        <f t="shared" si="3"/>
        <v>300</v>
      </c>
      <c r="L59" s="72">
        <f t="shared" si="3"/>
        <v>266.6666666666667</v>
      </c>
      <c r="M59" s="79">
        <f t="shared" si="3"/>
        <v>66.66666666666667</v>
      </c>
      <c r="N59" s="10" t="s">
        <v>0</v>
      </c>
    </row>
    <row r="60" spans="6:14" ht="14.25" thickBot="1">
      <c r="F60" s="248">
        <f>F50</f>
        <v>-11047.217401663815</v>
      </c>
      <c r="G60" s="10" t="s">
        <v>1</v>
      </c>
      <c r="H60" s="89">
        <f t="shared" si="3"/>
        <v>-7415.286956407813</v>
      </c>
      <c r="I60" s="90">
        <f t="shared" si="3"/>
        <v>16.666666666666668</v>
      </c>
      <c r="J60" s="91">
        <f t="shared" si="3"/>
        <v>100</v>
      </c>
      <c r="K60" s="91">
        <f t="shared" si="3"/>
        <v>100</v>
      </c>
      <c r="L60" s="91">
        <f t="shared" si="3"/>
        <v>0</v>
      </c>
      <c r="M60" s="92">
        <f t="shared" si="3"/>
        <v>2255.3333333333335</v>
      </c>
      <c r="N60" s="10" t="s">
        <v>1</v>
      </c>
    </row>
    <row r="63" spans="8:13" ht="14.25" thickBot="1">
      <c r="H63" s="55">
        <f aca="true" t="shared" si="4" ref="H63:M63">H53</f>
        <v>0</v>
      </c>
      <c r="I63" s="56">
        <f t="shared" si="4"/>
        <v>0</v>
      </c>
      <c r="J63" s="57">
        <f t="shared" si="4"/>
        <v>0</v>
      </c>
      <c r="K63" s="58">
        <f t="shared" si="4"/>
        <v>0</v>
      </c>
      <c r="L63" s="57">
        <f t="shared" si="4"/>
        <v>0</v>
      </c>
      <c r="M63" s="58">
        <f t="shared" si="4"/>
        <v>0</v>
      </c>
    </row>
    <row r="64" spans="7:13" ht="13.5">
      <c r="G64" s="132" t="s">
        <v>82</v>
      </c>
      <c r="H64" s="10" t="s">
        <v>3</v>
      </c>
      <c r="I64" s="10" t="s">
        <v>4</v>
      </c>
      <c r="J64" s="10">
        <v>2</v>
      </c>
      <c r="K64" s="10">
        <v>3</v>
      </c>
      <c r="L64" s="10" t="s">
        <v>0</v>
      </c>
      <c r="M64" s="10" t="s">
        <v>1</v>
      </c>
    </row>
    <row r="65" spans="6:14" ht="13.5">
      <c r="F65" s="244"/>
      <c r="G65" s="10" t="s">
        <v>3</v>
      </c>
      <c r="H65" s="60">
        <f aca="true" t="shared" si="5" ref="H65:M70">H55</f>
        <v>103184.15587689757</v>
      </c>
      <c r="I65" s="61">
        <f t="shared" si="5"/>
        <v>-333.3333333333333</v>
      </c>
      <c r="J65" s="62">
        <f t="shared" si="5"/>
        <v>-750</v>
      </c>
      <c r="K65" s="63">
        <f t="shared" si="5"/>
        <v>-1066.6666666666667</v>
      </c>
      <c r="L65" s="61">
        <f t="shared" si="5"/>
        <v>-292</v>
      </c>
      <c r="M65" s="63">
        <f t="shared" si="5"/>
        <v>-2922</v>
      </c>
      <c r="N65" s="10" t="s">
        <v>3</v>
      </c>
    </row>
    <row r="66" spans="6:14" ht="13.5" customHeight="1">
      <c r="F66" s="243"/>
      <c r="G66" s="10" t="s">
        <v>4</v>
      </c>
      <c r="H66" s="60">
        <f t="shared" si="5"/>
        <v>-28318.78749348654</v>
      </c>
      <c r="I66" s="69">
        <f t="shared" si="5"/>
        <v>100</v>
      </c>
      <c r="J66" s="70">
        <f t="shared" si="5"/>
        <v>200</v>
      </c>
      <c r="K66" s="71">
        <f t="shared" si="5"/>
        <v>266.6666666666667</v>
      </c>
      <c r="L66" s="72">
        <f t="shared" si="5"/>
        <v>6.666666666666667</v>
      </c>
      <c r="M66" s="71">
        <f t="shared" si="5"/>
        <v>200</v>
      </c>
      <c r="N66" s="10" t="s">
        <v>4</v>
      </c>
    </row>
    <row r="67" spans="6:14" ht="13.5">
      <c r="F67" s="243"/>
      <c r="G67" s="10" t="s">
        <v>6</v>
      </c>
      <c r="H67" s="77">
        <f t="shared" si="5"/>
        <v>-24297.259339403197</v>
      </c>
      <c r="I67" s="78">
        <f t="shared" si="5"/>
        <v>83.33333333333333</v>
      </c>
      <c r="J67" s="72">
        <f t="shared" si="5"/>
        <v>100</v>
      </c>
      <c r="K67" s="79">
        <f t="shared" si="5"/>
        <v>233.33333333333334</v>
      </c>
      <c r="L67" s="72">
        <f t="shared" si="5"/>
        <v>10</v>
      </c>
      <c r="M67" s="79">
        <f t="shared" si="5"/>
        <v>200</v>
      </c>
      <c r="N67" s="10" t="s">
        <v>6</v>
      </c>
    </row>
    <row r="68" spans="6:14" ht="13.5">
      <c r="F68" s="242"/>
      <c r="G68" s="10" t="s">
        <v>7</v>
      </c>
      <c r="H68" s="411">
        <f t="shared" si="5"/>
        <v>-22246.35923328744</v>
      </c>
      <c r="I68" s="82">
        <f t="shared" si="5"/>
        <v>66.66666666666667</v>
      </c>
      <c r="J68" s="83">
        <f t="shared" si="5"/>
        <v>150</v>
      </c>
      <c r="K68" s="84">
        <f t="shared" si="5"/>
        <v>166.66666666666666</v>
      </c>
      <c r="L68" s="72">
        <f t="shared" si="5"/>
        <v>8.666666666666666</v>
      </c>
      <c r="M68" s="79">
        <f t="shared" si="5"/>
        <v>200</v>
      </c>
      <c r="N68" s="10" t="s">
        <v>7</v>
      </c>
    </row>
    <row r="69" spans="6:14" ht="13.5">
      <c r="F69" s="247">
        <f>F59</f>
        <v>-99425.48252986954</v>
      </c>
      <c r="G69" s="10" t="s">
        <v>0</v>
      </c>
      <c r="H69" s="77">
        <f t="shared" si="5"/>
        <v>-20906.46285431257</v>
      </c>
      <c r="I69" s="72">
        <f t="shared" si="5"/>
        <v>66.66666666666667</v>
      </c>
      <c r="J69" s="72">
        <f t="shared" si="5"/>
        <v>200</v>
      </c>
      <c r="K69" s="72">
        <f t="shared" si="5"/>
        <v>300</v>
      </c>
      <c r="L69" s="72">
        <f t="shared" si="5"/>
        <v>266.6666666666667</v>
      </c>
      <c r="M69" s="79">
        <f t="shared" si="5"/>
        <v>66.66666666666667</v>
      </c>
      <c r="N69" s="10" t="s">
        <v>0</v>
      </c>
    </row>
    <row r="70" spans="6:14" ht="14.25" thickBot="1">
      <c r="F70" s="248">
        <f>F60</f>
        <v>-11047.217401663815</v>
      </c>
      <c r="G70" s="10" t="s">
        <v>1</v>
      </c>
      <c r="H70" s="89">
        <f t="shared" si="5"/>
        <v>-7415.286956407813</v>
      </c>
      <c r="I70" s="90">
        <f t="shared" si="5"/>
        <v>16.666666666666668</v>
      </c>
      <c r="J70" s="91">
        <f t="shared" si="5"/>
        <v>100</v>
      </c>
      <c r="K70" s="91">
        <f t="shared" si="5"/>
        <v>100</v>
      </c>
      <c r="L70" s="91">
        <f t="shared" si="5"/>
        <v>0</v>
      </c>
      <c r="M70" s="92">
        <f t="shared" si="5"/>
        <v>2255.3333333333335</v>
      </c>
      <c r="N70" s="10" t="s">
        <v>1</v>
      </c>
    </row>
    <row r="73" spans="12:13" ht="14.25" thickBot="1">
      <c r="L73" s="393">
        <f>Utility!J41/L14</f>
        <v>-863.245044730909</v>
      </c>
      <c r="M73" s="58">
        <f>Utility!K42/M14</f>
        <v>-8725.940102356843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3"/>
  <legacyDrawing r:id="rId2"/>
  <oleObjects>
    <oleObject progId="Adobe Photoshop Image" shapeId="85507446" r:id="rId1"/>
  </oleObjects>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codeName="Sheet7"/>
  <dimension ref="A1:A1"/>
  <sheetViews>
    <sheetView showGridLines="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SFEcon</cp:lastModifiedBy>
  <dcterms:created xsi:type="dcterms:W3CDTF">2011-04-29T00:48:53Z</dcterms:created>
  <dcterms:modified xsi:type="dcterms:W3CDTF">2015-07-08T18:34:01Z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