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6_0.bin" ContentType="application/vnd.openxmlformats-officedocument.oleObject"/>
  <Override PartName="/xl/embeddings/oleObject_7_0.bin" ContentType="application/vnd.openxmlformats-officedocument.oleObject"/>
  <Override PartName="/xl/embeddings/oleObject_8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7680" windowHeight="5595" tabRatio="509" activeTab="0"/>
  </bookViews>
  <sheets>
    <sheet name="Read Me" sheetId="1" r:id="rId1"/>
    <sheet name="Control" sheetId="2" r:id="rId2"/>
    <sheet name="Econ 0" sheetId="3" r:id="rId3"/>
    <sheet name="Econ 1" sheetId="4" r:id="rId4"/>
    <sheet name="Econ 2" sheetId="5" r:id="rId5"/>
    <sheet name="Series" sheetId="6" r:id="rId6"/>
    <sheet name="GPE" sheetId="7" r:id="rId7"/>
    <sheet name="Utility" sheetId="8" r:id="rId8"/>
    <sheet name="IState" sheetId="9" r:id="rId9"/>
    <sheet name="Module1" sheetId="10" state="hidden" r:id="rId10"/>
    <sheet name="Module2" sheetId="11" state="hidden" r:id="rId11"/>
  </sheets>
  <definedNames>
    <definedName name="Alpha1">'Econ 1'!#REF!</definedName>
    <definedName name="Alpha2">'Econ 2'!#REF!</definedName>
    <definedName name="B02_1">'Econ 1'!$J$37</definedName>
    <definedName name="BOX">'Series'!$C$8:$O$40</definedName>
    <definedName name="Buffer">'Series'!$C$5:$O$5</definedName>
    <definedName name="Capital1">'Econ 1'!$D$27:$D$32</definedName>
    <definedName name="Capital2">'Econ 2'!$D$27:$D$32</definedName>
    <definedName name="Chi_1">'Econ 1'!$Q$51</definedName>
    <definedName name="Chi_2">'Econ 2'!$Q$51</definedName>
    <definedName name="DT">'Control'!$B$27</definedName>
    <definedName name="Gamma">'Econ 0'!$Y$22</definedName>
    <definedName name="Gamma1">'Econ 1'!$F$21</definedName>
    <definedName name="Gamma2">'Econ 2'!$F$21</definedName>
    <definedName name="ICapital">'IState'!$C$31:$C$36</definedName>
    <definedName name="ISA">'Econ 0'!#REF!</definedName>
    <definedName name="ISave">'IState'!$E$31:$E$52</definedName>
    <definedName name="ISData">'Series'!$T$16:$U$36</definedName>
    <definedName name="IState">'IState'!$G$31:$J$55</definedName>
    <definedName name="ITerm">'IState'!$E$9</definedName>
    <definedName name="IUij">'Utility'!$F$28:$H$31</definedName>
    <definedName name="K1_1">'Econ 1'!$D$30</definedName>
    <definedName name="K2_1">'Econ 1'!$D$31</definedName>
    <definedName name="Kappa">'Econ 0'!$W$22</definedName>
    <definedName name="Kappa1">'Econ 1'!$D$21</definedName>
    <definedName name="Kappa2">'Econ 2'!$D$21</definedName>
    <definedName name="NCapital1">'Econ 1'!$D$83:$D$88</definedName>
    <definedName name="NCapital2">'Econ 2'!$D$83:$D$88</definedName>
    <definedName name="NISA">'Econ 0'!#REF!</definedName>
    <definedName name="NLINE">'Series'!$C$8</definedName>
    <definedName name="NPV">'Econ 0'!$Y$10</definedName>
    <definedName name="NPV_1">'Econ 1'!$F$61</definedName>
    <definedName name="NPV_2">'Econ 2'!$F$61</definedName>
    <definedName name="NSave1">'Econ 1'!$F$83:$F$104</definedName>
    <definedName name="NSave2">'Econ 2'!$F$83:$F$104</definedName>
    <definedName name="NState1">'Econ 1'!$H$83:$K$107</definedName>
    <definedName name="NState2">'Econ 2'!$H$83:$K$107</definedName>
    <definedName name="NTerm">'Econ 0'!$AC$14</definedName>
    <definedName name="NTerm1">'Econ 1'!$F$64</definedName>
    <definedName name="NTerm2">'Econ 2'!$F$64</definedName>
    <definedName name="Nu">'Econ 0'!$W$5</definedName>
    <definedName name="Nu_1">'Econ 1'!$D$10</definedName>
    <definedName name="Nu_2">'Econ 2'!$D$10</definedName>
    <definedName name="P0_1">'Econ 1'!$AF$51</definedName>
    <definedName name="P0_2">'Econ 2'!$AF$51</definedName>
    <definedName name="PER">'Control'!$B$28</definedName>
    <definedName name="S0_1">'Econ 1'!$S$75</definedName>
    <definedName name="S0_2">'Econ 2'!$S$75</definedName>
    <definedName name="Save1">'Econ 1'!$F$27:$F$48</definedName>
    <definedName name="Save2">'Econ 2'!$F$27:$F$48</definedName>
    <definedName name="SData">'Series'!$V$16:$W$36</definedName>
    <definedName name="Sigma01">'Econ 1'!#REF!</definedName>
    <definedName name="Sigma02">'Econ 2'!#REF!</definedName>
    <definedName name="SIMLEN">'Control'!$B$26</definedName>
    <definedName name="State1">'Econ 1'!$H$27:$K$51</definedName>
    <definedName name="State2">'Econ 2'!$H$27:$K$51</definedName>
    <definedName name="Term">'Econ 0'!$Y$14</definedName>
    <definedName name="Term1">'Econ 1'!$F$51</definedName>
    <definedName name="Term2">'Econ 2'!$F$51</definedName>
    <definedName name="TicToc">'Control'!$B$29</definedName>
    <definedName name="Uij_1">'Econ 1'!$AG$7:$AI$10</definedName>
    <definedName name="Uij_2">'Econ 2'!$AG$7:$AI$10</definedName>
    <definedName name="Ull_1">'Econ 1'!$AI$10</definedName>
    <definedName name="Ull_2">'Econ 2'!$AI$10</definedName>
    <definedName name="V0">'Econ 0'!$AA$5</definedName>
    <definedName name="V0_1">'Econ 1'!$H$10</definedName>
    <definedName name="V0_2">'Econ 2'!$H$10</definedName>
    <definedName name="Z0_1">'Econ 1'!$AF$7</definedName>
    <definedName name="Z0_2">'Econ 2'!$AF$7</definedName>
    <definedName name="Z2_1">'Econ 1'!$AH$7</definedName>
    <definedName name="Zl">'Econ 2'!$M$15</definedName>
    <definedName name="Zl_1">'Econ 1'!$AK$10</definedName>
    <definedName name="Zl_2">'Econ 2'!$AK$10</definedName>
  </definedNames>
  <calcPr fullCalcOnLoad="1"/>
</workbook>
</file>

<file path=xl/comments2.xml><?xml version="1.0" encoding="utf-8"?>
<comments xmlns="http://schemas.openxmlformats.org/spreadsheetml/2006/main">
  <authors>
    <author/>
  </authors>
  <commentList>
    <comment ref="B8" authorId="0">
      <text>
        <r>
          <rPr>
            <b/>
            <sz val="8"/>
            <color indexed="8"/>
            <rFont val="Tahoma"/>
            <family val="2"/>
          </rPr>
          <t xml:space="preserve">SFEcon theory is explicated at:
    www.sfecon.com
</t>
        </r>
      </text>
    </comment>
    <comment ref="B17" authorId="0">
      <text>
        <r>
          <rPr>
            <b/>
            <sz val="8"/>
            <color indexed="8"/>
            <rFont val="Tahoma"/>
            <family val="2"/>
          </rPr>
          <t xml:space="preserve">The 'Reinitiate' button returns the system's state and parameters to the initial optimal steady state calculated on the GPE, Utility, and IState Sheets.
It also clears away any time-series data generated by prior experiments.
The model should be reinitiated prior to any simulation.
</t>
        </r>
      </text>
    </comment>
    <comment ref="B23" authorId="0">
      <text>
        <r>
          <rPr>
            <b/>
            <sz val="8"/>
            <color indexed="8"/>
            <rFont val="Tahoma"/>
            <family val="2"/>
          </rPr>
          <t xml:space="preserve">Three stimuli are programmed in order to provoke responses from the model:
1.  The 'Plastic' stimulation makes Sector 2 a more efficient user of all its inputs.
2.  The 'Elastic' stimulation deposits a quantity of Good 2 on the market.
3. The 'Monetary' stimulation doubles the amount of every money stock.
Other stimuli can be investigated by directly changing state variables or boundary conditions in this spreadsheet prior to simulation.
</t>
        </r>
      </text>
    </comment>
    <comment ref="B29" authorId="0">
      <text>
        <r>
          <rPr>
            <b/>
            <sz val="8"/>
            <color indexed="8"/>
            <rFont val="Tahoma"/>
            <family val="2"/>
          </rPr>
          <t xml:space="preserve">The simulation parameters, SIMLEN, DT, PER, and TIME are measured in years.
The SIMLEN parameter can be changed at will to alter the period to be simulated.  The other parameters should NOT require alteration.
DT is the diferential element of time between calculations of the model's state via numerical integaration.
PER is the interval at which the model's time radiants are sampled, given the intention to plot thirty points from any series.
TIME marks the emulation's current progress.
</t>
        </r>
        <r>
          <rPr>
            <sz val="8"/>
            <color indexed="8"/>
            <rFont val="Tahoma"/>
            <family val="2"/>
          </rPr>
          <t xml:space="preserve">
</t>
        </r>
      </text>
    </comment>
    <comment ref="B35" authorId="0">
      <text>
        <r>
          <rPr>
            <b/>
            <sz val="8"/>
            <color indexed="8"/>
            <rFont val="Tahoma"/>
            <family val="2"/>
          </rPr>
          <t xml:space="preserve">The 'Simulate Time' button launches the model onto the dimension of time.  Time advances by recursively overlaying the system's current state with its next state, which is computed at one differential time element DT in the future.
This process creates graphically advancing time series as it advances TIME trough the requisite number of DT's needed to arrive the the desired length of simulation SIMLEN.
The process stops automatically when SIMLEN is reached, having sampled the time series generated at intervals defined by PER.  This requires only a few seconds, after which control returns to Excel.
</t>
        </r>
      </text>
    </comment>
    <comment ref="B40" authorId="0">
      <text>
        <r>
          <rPr>
            <b/>
            <sz val="8"/>
            <color indexed="8"/>
            <rFont val="Tahoma"/>
            <family val="2"/>
          </rPr>
          <t xml:space="preserve">The 'One DT' button overlays the model's current state with its next state each time it is clicked.
This feature is intended for use in tracking down instabilities which might result from changes to the model's initial structure.
</t>
        </r>
        <r>
          <rPr>
            <sz val="8"/>
            <color indexed="8"/>
            <rFont val="Tahoma"/>
            <family val="2"/>
          </rPr>
          <t xml:space="preserve">
</t>
        </r>
      </text>
    </comment>
  </commentList>
</comments>
</file>

<file path=xl/sharedStrings.xml><?xml version="1.0" encoding="utf-8"?>
<sst xmlns="http://schemas.openxmlformats.org/spreadsheetml/2006/main" count="1384" uniqueCount="273">
  <si>
    <t>L</t>
  </si>
  <si>
    <t>u</t>
  </si>
  <si>
    <t>0</t>
  </si>
  <si>
    <t>1</t>
  </si>
  <si>
    <t>2</t>
  </si>
  <si>
    <t>h</t>
  </si>
  <si>
    <r>
      <t>V</t>
    </r>
    <r>
      <rPr>
        <b/>
        <vertAlign val="subscript"/>
        <sz val="10"/>
        <color indexed="16"/>
        <rFont val="Arial"/>
        <family val="2"/>
      </rPr>
      <t>0</t>
    </r>
  </si>
  <si>
    <r>
      <t>-</t>
    </r>
    <r>
      <rPr>
        <b/>
        <sz val="10"/>
        <color indexed="16"/>
        <rFont val="Arial"/>
        <family val="2"/>
      </rPr>
      <t xml:space="preserve">N </t>
    </r>
  </si>
  <si>
    <t>¡</t>
  </si>
  <si>
    <r>
      <t xml:space="preserve"> </t>
    </r>
    <r>
      <rPr>
        <b/>
        <sz val="10"/>
        <color indexed="16"/>
        <rFont val="MS Sans Serif"/>
        <family val="2"/>
      </rPr>
      <t>&lt;</t>
    </r>
    <r>
      <rPr>
        <b/>
        <sz val="10"/>
        <color indexed="16"/>
        <rFont val="Arial"/>
        <family val="2"/>
      </rPr>
      <t xml:space="preserve"> Values</t>
    </r>
  </si>
  <si>
    <t>e</t>
  </si>
  <si>
    <t>hQ</t>
  </si>
  <si>
    <t>SIMLEN:</t>
  </si>
  <si>
    <t>hQ - ¡</t>
  </si>
  <si>
    <t>w</t>
  </si>
  <si>
    <t>b</t>
  </si>
  <si>
    <t>Q</t>
  </si>
  <si>
    <t>Z</t>
  </si>
  <si>
    <t>l</t>
  </si>
  <si>
    <t>Y</t>
  </si>
  <si>
    <t>DT:</t>
  </si>
  <si>
    <t>PER:</t>
  </si>
  <si>
    <t>TIME:</t>
  </si>
  <si>
    <t>Leisure</t>
  </si>
  <si>
    <t>u + e</t>
  </si>
  <si>
    <t>hb</t>
  </si>
  <si>
    <t>z</t>
  </si>
  <si>
    <t>Wage</t>
  </si>
  <si>
    <t>hz</t>
  </si>
  <si>
    <t>r</t>
  </si>
  <si>
    <t>Time Series of Output, Supply and Demand</t>
  </si>
  <si>
    <t>Time Series of Interest Rates</t>
  </si>
  <si>
    <t>for Good #2</t>
  </si>
  <si>
    <t>and the Currency Value</t>
  </si>
  <si>
    <t>Time Series of Price, Marginal Cost, and</t>
  </si>
  <si>
    <t>Supply and Demand Schedules</t>
  </si>
  <si>
    <t>Marginal Values for Good #2</t>
  </si>
  <si>
    <t>BUFFER -&gt;</t>
  </si>
  <si>
    <t>BOX:</t>
  </si>
  <si>
    <t>year</t>
  </si>
  <si>
    <r>
      <t>S</t>
    </r>
    <r>
      <rPr>
        <b/>
        <vertAlign val="subscript"/>
        <sz val="12"/>
        <rFont val="Symbol"/>
        <family val="1"/>
      </rPr>
      <t>2</t>
    </r>
  </si>
  <si>
    <r>
      <t>D</t>
    </r>
    <r>
      <rPr>
        <b/>
        <vertAlign val="subscript"/>
        <sz val="12"/>
        <rFont val="Symbol"/>
        <family val="1"/>
      </rPr>
      <t>2</t>
    </r>
  </si>
  <si>
    <r>
      <t>P</t>
    </r>
    <r>
      <rPr>
        <b/>
        <vertAlign val="subscript"/>
        <sz val="10"/>
        <rFont val="Courier New"/>
        <family val="3"/>
      </rPr>
      <t>2</t>
    </r>
  </si>
  <si>
    <r>
      <t>MC</t>
    </r>
    <r>
      <rPr>
        <b/>
        <vertAlign val="subscript"/>
        <sz val="10"/>
        <rFont val="Courier New"/>
        <family val="3"/>
      </rPr>
      <t>2</t>
    </r>
  </si>
  <si>
    <r>
      <t>VMP</t>
    </r>
    <r>
      <rPr>
        <b/>
        <vertAlign val="subscript"/>
        <sz val="10"/>
        <rFont val="Courier New"/>
        <family val="3"/>
      </rPr>
      <t>1</t>
    </r>
  </si>
  <si>
    <r>
      <t>VMP</t>
    </r>
    <r>
      <rPr>
        <b/>
        <vertAlign val="subscript"/>
        <sz val="10"/>
        <rFont val="Courier New"/>
        <family val="3"/>
      </rPr>
      <t>L</t>
    </r>
  </si>
  <si>
    <r>
      <t>P</t>
    </r>
    <r>
      <rPr>
        <b/>
        <vertAlign val="subscript"/>
        <sz val="10"/>
        <rFont val="Courier New"/>
        <family val="3"/>
      </rPr>
      <t>*</t>
    </r>
  </si>
  <si>
    <r>
      <t>b</t>
    </r>
    <r>
      <rPr>
        <vertAlign val="subscript"/>
        <sz val="10"/>
        <rFont val="Symbol"/>
        <family val="1"/>
      </rPr>
      <t>2</t>
    </r>
  </si>
  <si>
    <r>
      <t>Z</t>
    </r>
    <r>
      <rPr>
        <vertAlign val="subscript"/>
        <sz val="10"/>
        <rFont val="Arial"/>
        <family val="2"/>
      </rPr>
      <t>2</t>
    </r>
  </si>
  <si>
    <r>
      <t>U</t>
    </r>
    <r>
      <rPr>
        <vertAlign val="subscript"/>
        <sz val="10"/>
        <rFont val="Arial"/>
        <family val="2"/>
      </rPr>
      <t>1-2-L</t>
    </r>
  </si>
  <si>
    <t>INITIAL</t>
  </si>
  <si>
    <r>
      <t>Q</t>
    </r>
    <r>
      <rPr>
        <vertAlign val="subscript"/>
        <sz val="10"/>
        <rFont val="Arial"/>
        <family val="2"/>
      </rPr>
      <t>1</t>
    </r>
  </si>
  <si>
    <t>s</t>
  </si>
  <si>
    <t>d</t>
  </si>
  <si>
    <t>S</t>
  </si>
  <si>
    <t>D</t>
  </si>
  <si>
    <t>General Equilibrium Prices, $/physical unit</t>
  </si>
  <si>
    <t xml:space="preserve">Experimenters are invited to change </t>
  </si>
  <si>
    <t>Interest Rate</t>
  </si>
  <si>
    <t>Price of</t>
  </si>
  <si>
    <r>
      <t>Value, $/</t>
    </r>
    <r>
      <rPr>
        <b/>
        <strike/>
        <sz val="10"/>
        <color indexed="16"/>
        <rFont val="Arial"/>
        <family val="2"/>
      </rPr>
      <t>G</t>
    </r>
  </si>
  <si>
    <t>$/hour</t>
  </si>
  <si>
    <r>
      <t xml:space="preserve">% return </t>
    </r>
    <r>
      <rPr>
        <b/>
        <sz val="10"/>
        <color indexed="16"/>
        <rFont val="MS Sans Serif"/>
        <family val="2"/>
      </rPr>
      <t xml:space="preserve"> &gt;</t>
    </r>
  </si>
  <si>
    <t>on asset</t>
  </si>
  <si>
    <t>turnover</t>
  </si>
  <si>
    <t>Sector 1:</t>
  </si>
  <si>
    <t>p</t>
  </si>
  <si>
    <t>pq</t>
  </si>
  <si>
    <r>
      <t xml:space="preserve">x </t>
    </r>
    <r>
      <rPr>
        <b/>
        <sz val="10"/>
        <color indexed="16"/>
        <rFont val="MS Sans Serif"/>
        <family val="2"/>
      </rPr>
      <t>&gt;</t>
    </r>
  </si>
  <si>
    <r>
      <t>Q</t>
    </r>
    <r>
      <rPr>
        <b/>
        <vertAlign val="subscript"/>
        <sz val="10"/>
        <color indexed="16"/>
        <rFont val="Arial"/>
        <family val="2"/>
      </rPr>
      <t>1</t>
    </r>
    <r>
      <rPr>
        <b/>
        <sz val="10"/>
        <color indexed="16"/>
        <rFont val="Arial"/>
        <family val="2"/>
      </rPr>
      <t xml:space="preserve"> </t>
    </r>
    <r>
      <rPr>
        <b/>
        <sz val="10"/>
        <color indexed="16"/>
        <rFont val="MS Sans Serif"/>
        <family val="2"/>
      </rPr>
      <t>&gt;</t>
    </r>
  </si>
  <si>
    <t>a</t>
  </si>
  <si>
    <r>
      <t>Q</t>
    </r>
    <r>
      <rPr>
        <b/>
        <vertAlign val="subscript"/>
        <sz val="10"/>
        <color indexed="16"/>
        <rFont val="Arial"/>
        <family val="2"/>
      </rPr>
      <t>2</t>
    </r>
    <r>
      <rPr>
        <b/>
        <sz val="10"/>
        <color indexed="16"/>
        <rFont val="Arial"/>
        <family val="2"/>
      </rPr>
      <t xml:space="preserve"> </t>
    </r>
    <r>
      <rPr>
        <b/>
        <sz val="10"/>
        <color indexed="16"/>
        <rFont val="MS Sans Serif"/>
        <family val="2"/>
      </rPr>
      <t>&gt;</t>
    </r>
  </si>
  <si>
    <r>
      <t>Q</t>
    </r>
    <r>
      <rPr>
        <b/>
        <vertAlign val="subscript"/>
        <sz val="10"/>
        <color indexed="16"/>
        <rFont val="Arial"/>
        <family val="2"/>
      </rPr>
      <t>L</t>
    </r>
    <r>
      <rPr>
        <b/>
        <sz val="10"/>
        <color indexed="16"/>
        <rFont val="Arial"/>
        <family val="2"/>
      </rPr>
      <t xml:space="preserve"> </t>
    </r>
    <r>
      <rPr>
        <b/>
        <sz val="10"/>
        <color indexed="16"/>
        <rFont val="MS Sans Serif"/>
        <family val="2"/>
      </rPr>
      <t>&gt;</t>
    </r>
  </si>
  <si>
    <t>c</t>
  </si>
  <si>
    <t>^ P</t>
  </si>
  <si>
    <t>pu</t>
  </si>
  <si>
    <r>
      <t xml:space="preserve">Z  </t>
    </r>
    <r>
      <rPr>
        <b/>
        <sz val="10"/>
        <color indexed="16"/>
        <rFont val="MS Sans Serif"/>
        <family val="2"/>
      </rPr>
      <t>&lt;</t>
    </r>
  </si>
  <si>
    <t xml:space="preserve">B   </t>
  </si>
  <si>
    <r>
      <t>U</t>
    </r>
    <r>
      <rPr>
        <b/>
        <vertAlign val="subscript"/>
        <sz val="10"/>
        <color indexed="16"/>
        <rFont val="Arial"/>
        <family val="2"/>
      </rPr>
      <t>1</t>
    </r>
    <r>
      <rPr>
        <b/>
        <sz val="10"/>
        <color indexed="16"/>
        <rFont val="Arial"/>
        <family val="2"/>
      </rPr>
      <t xml:space="preserve"> </t>
    </r>
    <r>
      <rPr>
        <b/>
        <sz val="10"/>
        <color indexed="16"/>
        <rFont val="MS Sans Serif"/>
        <family val="2"/>
      </rPr>
      <t>&lt;</t>
    </r>
  </si>
  <si>
    <t>C</t>
  </si>
  <si>
    <r>
      <t>U</t>
    </r>
    <r>
      <rPr>
        <b/>
        <vertAlign val="subscript"/>
        <sz val="10"/>
        <color indexed="16"/>
        <rFont val="Arial"/>
        <family val="2"/>
      </rPr>
      <t>2</t>
    </r>
    <r>
      <rPr>
        <b/>
        <sz val="10"/>
        <color indexed="16"/>
        <rFont val="Arial"/>
        <family val="2"/>
      </rPr>
      <t xml:space="preserve"> </t>
    </r>
    <r>
      <rPr>
        <b/>
        <sz val="10"/>
        <color indexed="16"/>
        <rFont val="MS Sans Serif"/>
        <family val="2"/>
      </rPr>
      <t>&lt;</t>
    </r>
  </si>
  <si>
    <r>
      <t>S</t>
    </r>
    <r>
      <rPr>
        <b/>
        <vertAlign val="subscript"/>
        <sz val="10"/>
        <color indexed="16"/>
        <rFont val="Arial"/>
        <family val="2"/>
      </rPr>
      <t>1</t>
    </r>
  </si>
  <si>
    <r>
      <t>U</t>
    </r>
    <r>
      <rPr>
        <b/>
        <vertAlign val="subscript"/>
        <sz val="10"/>
        <color indexed="16"/>
        <rFont val="Arial"/>
        <family val="2"/>
      </rPr>
      <t>L</t>
    </r>
    <r>
      <rPr>
        <b/>
        <sz val="10"/>
        <color indexed="16"/>
        <rFont val="Arial"/>
        <family val="2"/>
      </rPr>
      <t xml:space="preserve"> </t>
    </r>
    <r>
      <rPr>
        <b/>
        <sz val="10"/>
        <color indexed="16"/>
        <rFont val="MS Sans Serif"/>
        <family val="2"/>
      </rPr>
      <t>&lt;</t>
    </r>
  </si>
  <si>
    <r>
      <t>S</t>
    </r>
    <r>
      <rPr>
        <b/>
        <vertAlign val="subscript"/>
        <sz val="10"/>
        <color indexed="16"/>
        <rFont val="Arial"/>
        <family val="2"/>
      </rPr>
      <t>2</t>
    </r>
  </si>
  <si>
    <t>Sector 2:</t>
  </si>
  <si>
    <t>Sectors' Production and Utility Tradeoffs, physical units/year</t>
  </si>
  <si>
    <t>Sector L:</t>
  </si>
  <si>
    <t>Commodities' Turnover Fractions, dimensionless/year</t>
  </si>
  <si>
    <t>P</t>
  </si>
  <si>
    <r>
      <t xml:space="preserve"> </t>
    </r>
    <r>
      <rPr>
        <b/>
        <sz val="10"/>
        <color indexed="16"/>
        <rFont val="MS Sans Serif"/>
        <family val="2"/>
      </rPr>
      <t>&lt;</t>
    </r>
    <r>
      <rPr>
        <b/>
        <sz val="10"/>
        <color indexed="16"/>
        <rFont val="Arial"/>
        <family val="2"/>
      </rPr>
      <t xml:space="preserve"> Supply</t>
    </r>
  </si>
  <si>
    <r>
      <t>Z</t>
    </r>
    <r>
      <rPr>
        <b/>
        <vertAlign val="subscript"/>
        <sz val="10"/>
        <color indexed="16"/>
        <rFont val="Arial"/>
        <family val="2"/>
      </rPr>
      <t>L</t>
    </r>
  </si>
  <si>
    <t>appears within the marquee.</t>
  </si>
  <si>
    <r>
      <t>l/</t>
    </r>
    <r>
      <rPr>
        <b/>
        <sz val="10"/>
        <color indexed="12"/>
        <rFont val="Arial"/>
        <family val="2"/>
      </rPr>
      <t>Z</t>
    </r>
  </si>
  <si>
    <t>A</t>
  </si>
  <si>
    <t>B</t>
  </si>
  <si>
    <t>Investment</t>
  </si>
  <si>
    <t>Maturing</t>
  </si>
  <si>
    <t>H</t>
  </si>
  <si>
    <r>
      <t>U</t>
    </r>
  </si>
  <si>
    <t>E</t>
  </si>
  <si>
    <r>
      <t xml:space="preserve">    </t>
    </r>
    <r>
      <rPr>
        <b/>
        <strike/>
        <sz val="10"/>
        <color indexed="58"/>
        <rFont val="Arial"/>
        <family val="2"/>
      </rPr>
      <t>G</t>
    </r>
    <r>
      <rPr>
        <b/>
        <sz val="12"/>
        <rFont val="Symbol"/>
        <family val="1"/>
      </rPr>
      <t>/</t>
    </r>
    <r>
      <rPr>
        <b/>
        <sz val="10"/>
        <rFont val="Arial"/>
        <family val="2"/>
      </rPr>
      <t>unit</t>
    </r>
  </si>
  <si>
    <r>
      <t>Y</t>
    </r>
    <r>
      <rPr>
        <b/>
        <sz val="10"/>
        <color indexed="58"/>
        <rFont val="Arial"/>
        <family val="2"/>
      </rPr>
      <t>U</t>
    </r>
  </si>
  <si>
    <r>
      <t>H</t>
    </r>
    <r>
      <rPr>
        <b/>
        <sz val="12"/>
        <color indexed="17"/>
        <rFont val="Symbol"/>
        <family val="1"/>
      </rPr>
      <t>b</t>
    </r>
  </si>
  <si>
    <r>
      <t>H</t>
    </r>
    <r>
      <rPr>
        <b/>
        <sz val="12"/>
        <color indexed="17"/>
        <rFont val="Symbol"/>
        <family val="1"/>
      </rPr>
      <t>z</t>
    </r>
  </si>
  <si>
    <r>
      <t>R</t>
    </r>
    <r>
      <rPr>
        <b/>
        <sz val="10"/>
        <color indexed="16"/>
        <rFont val="MS Sans Serif"/>
        <family val="2"/>
      </rPr>
      <t xml:space="preserve"> </t>
    </r>
  </si>
  <si>
    <r>
      <t>H</t>
    </r>
    <r>
      <rPr>
        <b/>
        <sz val="12"/>
        <color indexed="58"/>
        <rFont val="Symbol"/>
        <family val="1"/>
      </rPr>
      <t>Q</t>
    </r>
  </si>
  <si>
    <t>W</t>
  </si>
  <si>
    <r>
      <t>m</t>
    </r>
  </si>
  <si>
    <t>__</t>
  </si>
  <si>
    <t>U</t>
  </si>
  <si>
    <t>PR</t>
  </si>
  <si>
    <t>R</t>
  </si>
  <si>
    <r>
      <t xml:space="preserve"> </t>
    </r>
    <r>
      <rPr>
        <b/>
        <sz val="10"/>
        <color indexed="16"/>
        <rFont val="MS Sans Serif"/>
        <family val="2"/>
      </rPr>
      <t>&lt;</t>
    </r>
    <r>
      <rPr>
        <b/>
        <sz val="10"/>
        <color indexed="16"/>
        <rFont val="Arial"/>
        <family val="2"/>
      </rPr>
      <t xml:space="preserve"> Demand</t>
    </r>
  </si>
  <si>
    <t xml:space="preserve">    Change</t>
  </si>
  <si>
    <r>
      <t xml:space="preserve"> </t>
    </r>
    <r>
      <rPr>
        <b/>
        <sz val="10"/>
        <color indexed="16"/>
        <rFont val="MS Sans Serif"/>
        <family val="2"/>
      </rPr>
      <t>&lt;</t>
    </r>
    <r>
      <rPr>
        <b/>
        <sz val="10"/>
        <color indexed="16"/>
        <rFont val="Arial"/>
        <family val="2"/>
      </rPr>
      <t xml:space="preserve"> eXports  ( </t>
    </r>
    <r>
      <rPr>
        <b/>
        <sz val="12"/>
        <color indexed="16"/>
        <rFont val="Symbol"/>
        <family val="1"/>
      </rPr>
      <t>+</t>
    </r>
    <r>
      <rPr>
        <b/>
        <sz val="10"/>
        <color indexed="16"/>
        <rFont val="Arial"/>
        <family val="2"/>
      </rPr>
      <t xml:space="preserve"> )</t>
    </r>
  </si>
  <si>
    <r>
      <t xml:space="preserve"> </t>
    </r>
    <r>
      <rPr>
        <b/>
        <sz val="10"/>
        <color indexed="16"/>
        <rFont val="MS Sans Serif"/>
        <family val="2"/>
      </rPr>
      <t>&lt;</t>
    </r>
    <r>
      <rPr>
        <b/>
        <sz val="10"/>
        <color indexed="16"/>
        <rFont val="Arial"/>
        <family val="2"/>
      </rPr>
      <t xml:space="preserve"> Rates of</t>
    </r>
  </si>
  <si>
    <r>
      <t>b</t>
    </r>
    <r>
      <rPr>
        <vertAlign val="subscript"/>
        <sz val="10"/>
        <rFont val="Symbol"/>
        <family val="1"/>
      </rPr>
      <t>1-2-</t>
    </r>
    <r>
      <rPr>
        <vertAlign val="subscript"/>
        <sz val="10"/>
        <rFont val="Arial"/>
        <family val="2"/>
      </rPr>
      <t>L</t>
    </r>
  </si>
  <si>
    <t xml:space="preserve">    Monetary</t>
  </si>
  <si>
    <r>
      <t xml:space="preserve"> </t>
    </r>
    <r>
      <rPr>
        <b/>
        <sz val="10"/>
        <color indexed="17"/>
        <rFont val="MS Sans Serif"/>
        <family val="2"/>
      </rPr>
      <t>&lt;</t>
    </r>
    <r>
      <rPr>
        <b/>
        <sz val="10"/>
        <color indexed="17"/>
        <rFont val="Arial"/>
        <family val="2"/>
      </rPr>
      <t xml:space="preserve"> Transactions</t>
    </r>
  </si>
  <si>
    <t>t</t>
  </si>
  <si>
    <r>
      <t xml:space="preserve">Dividends </t>
    </r>
    <r>
      <rPr>
        <b/>
        <sz val="10"/>
        <color indexed="17"/>
        <rFont val="MS Sans Serif"/>
        <family val="2"/>
      </rPr>
      <t>&gt;</t>
    </r>
  </si>
  <si>
    <t>n</t>
  </si>
  <si>
    <t>g</t>
  </si>
  <si>
    <r>
      <t xml:space="preserve">- </t>
    </r>
    <r>
      <rPr>
        <b/>
        <sz val="10"/>
        <color indexed="12"/>
        <rFont val="Arial"/>
        <family val="2"/>
      </rPr>
      <t>Y/</t>
    </r>
    <r>
      <rPr>
        <b/>
        <sz val="12"/>
        <color indexed="12"/>
        <rFont val="Symbol"/>
        <family val="1"/>
      </rPr>
      <t>l</t>
    </r>
  </si>
  <si>
    <r>
      <t>Y</t>
    </r>
    <r>
      <rPr>
        <b/>
        <sz val="10"/>
        <color indexed="16"/>
        <rFont val="MS Sans Serif"/>
        <family val="2"/>
      </rPr>
      <t xml:space="preserve"> </t>
    </r>
  </si>
  <si>
    <t>Physical</t>
  </si>
  <si>
    <t>Global</t>
  </si>
  <si>
    <t>Export / Import</t>
  </si>
  <si>
    <t>Profile</t>
  </si>
  <si>
    <r>
      <t xml:space="preserve">Consumption </t>
    </r>
    <r>
      <rPr>
        <b/>
        <sz val="10"/>
        <color indexed="17"/>
        <rFont val="MS Sans Serif"/>
        <family val="2"/>
      </rPr>
      <t>&gt;</t>
    </r>
  </si>
  <si>
    <r>
      <t>P</t>
    </r>
    <r>
      <rPr>
        <b/>
        <vertAlign val="subscript"/>
        <sz val="10"/>
        <rFont val="Courier New"/>
        <family val="3"/>
      </rPr>
      <t>0</t>
    </r>
    <r>
      <rPr>
        <b/>
        <sz val="10"/>
        <rFont val="Courier New"/>
        <family val="3"/>
      </rPr>
      <t>/P</t>
    </r>
    <r>
      <rPr>
        <b/>
        <vertAlign val="subscript"/>
        <sz val="10"/>
        <rFont val="Courier New"/>
        <family val="3"/>
      </rPr>
      <t>0</t>
    </r>
  </si>
  <si>
    <r>
      <t>S</t>
    </r>
    <r>
      <rPr>
        <b/>
        <vertAlign val="subscript"/>
        <sz val="12"/>
        <rFont val="Symbol"/>
        <family val="1"/>
      </rPr>
      <t>1</t>
    </r>
  </si>
  <si>
    <r>
      <t>D</t>
    </r>
    <r>
      <rPr>
        <b/>
        <vertAlign val="subscript"/>
        <sz val="12"/>
        <rFont val="Symbol"/>
        <family val="1"/>
      </rPr>
      <t>1</t>
    </r>
  </si>
  <si>
    <r>
      <t xml:space="preserve">Balance </t>
    </r>
    <r>
      <rPr>
        <b/>
        <sz val="10"/>
        <color indexed="17"/>
        <rFont val="MS Sans Serif"/>
        <family val="2"/>
      </rPr>
      <t>&gt;</t>
    </r>
  </si>
  <si>
    <t>$/$</t>
  </si>
  <si>
    <t xml:space="preserve">    Optimal</t>
  </si>
  <si>
    <t>k</t>
  </si>
  <si>
    <r>
      <t xml:space="preserve">1/(N </t>
    </r>
    <r>
      <rPr>
        <b/>
        <sz val="12"/>
        <color indexed="16"/>
        <rFont val="Symbol"/>
        <family val="1"/>
      </rPr>
      <t>+</t>
    </r>
    <r>
      <rPr>
        <b/>
        <sz val="10"/>
        <color indexed="16"/>
        <rFont val="Arial"/>
        <family val="2"/>
      </rPr>
      <t xml:space="preserve"> 1)</t>
    </r>
  </si>
  <si>
    <t>F</t>
  </si>
  <si>
    <t>-n</t>
  </si>
  <si>
    <t>FI</t>
  </si>
  <si>
    <t>Saving</t>
  </si>
  <si>
    <t>NPV</t>
  </si>
  <si>
    <r>
      <t xml:space="preserve">1 </t>
    </r>
    <r>
      <rPr>
        <b/>
        <sz val="12"/>
        <color indexed="16"/>
        <rFont val="Arial"/>
        <family val="2"/>
      </rPr>
      <t>-</t>
    </r>
    <r>
      <rPr>
        <b/>
        <sz val="12"/>
        <color indexed="16"/>
        <rFont val="Symbol"/>
        <family val="1"/>
      </rPr>
      <t xml:space="preserve"> n</t>
    </r>
  </si>
  <si>
    <t>PU</t>
  </si>
  <si>
    <r>
      <t xml:space="preserve">    </t>
    </r>
    <r>
      <rPr>
        <b/>
        <sz val="12"/>
        <color indexed="16"/>
        <rFont val="Symbol"/>
        <family val="1"/>
      </rPr>
      <t>i</t>
    </r>
    <r>
      <rPr>
        <b/>
        <sz val="10"/>
        <color indexed="16"/>
        <rFont val="Arial"/>
        <family val="2"/>
      </rPr>
      <t xml:space="preserve">     H</t>
    </r>
    <r>
      <rPr>
        <b/>
        <sz val="12"/>
        <color indexed="16"/>
        <rFont val="Symbol"/>
        <family val="1"/>
      </rPr>
      <t>b/m</t>
    </r>
  </si>
  <si>
    <r>
      <t>∂Z</t>
    </r>
    <r>
      <rPr>
        <b/>
        <vertAlign val="subscript"/>
        <sz val="10"/>
        <color indexed="16"/>
        <rFont val="Arial"/>
        <family val="2"/>
      </rPr>
      <t>L</t>
    </r>
    <r>
      <rPr>
        <b/>
        <sz val="10"/>
        <color indexed="16"/>
        <rFont val="Arial"/>
        <family val="2"/>
      </rPr>
      <t>/∂t</t>
    </r>
  </si>
  <si>
    <t>Stocks</t>
  </si>
  <si>
    <t xml:space="preserve">    Demand</t>
  </si>
  <si>
    <r>
      <t xml:space="preserve">&lt; </t>
    </r>
    <r>
      <rPr>
        <b/>
        <sz val="10"/>
        <color indexed="16"/>
        <rFont val="Arial"/>
        <family val="2"/>
      </rPr>
      <t>Physical</t>
    </r>
  </si>
  <si>
    <r>
      <t xml:space="preserve">S/D Schedules </t>
    </r>
    <r>
      <rPr>
        <b/>
        <sz val="10"/>
        <color indexed="16"/>
        <rFont val="MS Sans Serif"/>
        <family val="2"/>
      </rPr>
      <t>&gt;</t>
    </r>
  </si>
  <si>
    <r>
      <t xml:space="preserve">Values of </t>
    </r>
    <r>
      <rPr>
        <b/>
        <sz val="10"/>
        <color indexed="16"/>
        <rFont val="MS Sans Serif"/>
        <family val="2"/>
      </rPr>
      <t xml:space="preserve">&gt; </t>
    </r>
  </si>
  <si>
    <r>
      <t xml:space="preserve"> </t>
    </r>
    <r>
      <rPr>
        <b/>
        <sz val="10"/>
        <color indexed="12"/>
        <rFont val="MS Sans Serif"/>
        <family val="2"/>
      </rPr>
      <t>&lt;</t>
    </r>
    <r>
      <rPr>
        <b/>
        <sz val="10"/>
        <color indexed="12"/>
        <rFont val="Arial"/>
        <family val="2"/>
      </rPr>
      <t xml:space="preserve"> Output  ( </t>
    </r>
    <r>
      <rPr>
        <b/>
        <sz val="12"/>
        <color indexed="12"/>
        <rFont val="Symbol"/>
        <family val="1"/>
      </rPr>
      <t>-</t>
    </r>
    <r>
      <rPr>
        <b/>
        <sz val="10"/>
        <color indexed="12"/>
        <rFont val="Arial"/>
        <family val="2"/>
      </rPr>
      <t xml:space="preserve"> )</t>
    </r>
  </si>
  <si>
    <r>
      <t xml:space="preserve"> </t>
    </r>
    <r>
      <rPr>
        <b/>
        <sz val="10"/>
        <color indexed="16"/>
        <rFont val="MS Sans Serif"/>
        <family val="2"/>
      </rPr>
      <t>&lt;</t>
    </r>
    <r>
      <rPr>
        <b/>
        <sz val="10"/>
        <color indexed="16"/>
        <rFont val="Arial"/>
        <family val="2"/>
      </rPr>
      <t xml:space="preserve"> Factors</t>
    </r>
  </si>
  <si>
    <r>
      <t xml:space="preserve">   $</t>
    </r>
    <r>
      <rPr>
        <b/>
        <sz val="10"/>
        <rFont val="Arial"/>
        <family val="2"/>
      </rPr>
      <t>/unit</t>
    </r>
  </si>
  <si>
    <r>
      <t xml:space="preserve">&lt; </t>
    </r>
    <r>
      <rPr>
        <b/>
        <sz val="10"/>
        <color indexed="16"/>
        <rFont val="Arial"/>
        <family val="2"/>
      </rPr>
      <t xml:space="preserve">Absolute Commodity Values </t>
    </r>
    <r>
      <rPr>
        <b/>
        <sz val="10"/>
        <color indexed="16"/>
        <rFont val="MS Sans Serif"/>
        <family val="2"/>
      </rPr>
      <t>&gt;</t>
    </r>
  </si>
  <si>
    <t>X</t>
  </si>
  <si>
    <r>
      <t xml:space="preserve">Principal </t>
    </r>
    <r>
      <rPr>
        <b/>
        <sz val="10"/>
        <color indexed="17"/>
        <rFont val="MS Sans Serif"/>
        <family val="2"/>
      </rPr>
      <t xml:space="preserve">&gt; </t>
    </r>
  </si>
  <si>
    <t>b = e/w</t>
  </si>
  <si>
    <r>
      <t xml:space="preserve">of Utility </t>
    </r>
    <r>
      <rPr>
        <b/>
        <sz val="10"/>
        <color indexed="16"/>
        <rFont val="MS Sans Serif"/>
        <family val="2"/>
      </rPr>
      <t xml:space="preserve">&gt; </t>
    </r>
  </si>
  <si>
    <t>Spatial Parameters,</t>
  </si>
  <si>
    <t>i.e.: production and</t>
  </si>
  <si>
    <r>
      <t>(1</t>
    </r>
    <r>
      <rPr>
        <b/>
        <sz val="12"/>
        <color indexed="16"/>
        <rFont val="Symbol"/>
        <family val="1"/>
      </rPr>
      <t>-</t>
    </r>
    <r>
      <rPr>
        <b/>
        <sz val="10"/>
        <color indexed="16"/>
        <rFont val="Arial"/>
        <family val="2"/>
      </rPr>
      <t>1/</t>
    </r>
    <r>
      <rPr>
        <b/>
        <sz val="8"/>
        <color indexed="16"/>
        <rFont val="Arial"/>
        <family val="2"/>
      </rPr>
      <t>NPV</t>
    </r>
    <r>
      <rPr>
        <b/>
        <sz val="10"/>
        <color indexed="16"/>
        <rFont val="Arial"/>
        <family val="2"/>
      </rPr>
      <t xml:space="preserve">)/T  </t>
    </r>
  </si>
  <si>
    <r>
      <t xml:space="preserve">  </t>
    </r>
    <r>
      <rPr>
        <b/>
        <u val="single"/>
        <sz val="10"/>
        <color indexed="16"/>
        <rFont val="Arial"/>
        <family val="2"/>
      </rPr>
      <t xml:space="preserve">     1      </t>
    </r>
  </si>
  <si>
    <r>
      <t xml:space="preserve">     </t>
    </r>
    <r>
      <rPr>
        <b/>
        <sz val="10"/>
        <color indexed="16"/>
        <rFont val="Arial"/>
        <family val="2"/>
      </rPr>
      <t>at time = t</t>
    </r>
    <r>
      <rPr>
        <b/>
        <sz val="12"/>
        <color indexed="16"/>
        <rFont val="Symbol"/>
        <family val="1"/>
      </rPr>
      <t xml:space="preserve"> </t>
    </r>
    <r>
      <rPr>
        <b/>
        <sz val="10"/>
        <color indexed="16"/>
        <rFont val="MS Sans Serif"/>
        <family val="2"/>
      </rPr>
      <t>&gt;</t>
    </r>
  </si>
  <si>
    <r>
      <t xml:space="preserve">utility tradeoffs </t>
    </r>
    <r>
      <rPr>
        <b/>
        <sz val="10"/>
        <color indexed="16"/>
        <rFont val="MS Sans Serif"/>
        <family val="2"/>
      </rPr>
      <t>&gt;</t>
    </r>
  </si>
  <si>
    <r>
      <t xml:space="preserve">Q = </t>
    </r>
    <r>
      <rPr>
        <b/>
        <sz val="10"/>
        <color indexed="59"/>
        <rFont val="Arial"/>
        <family val="2"/>
      </rPr>
      <t>E</t>
    </r>
    <r>
      <rPr>
        <b/>
        <vertAlign val="subscript"/>
        <sz val="10"/>
        <color indexed="59"/>
        <rFont val="Arial"/>
        <family val="2"/>
      </rPr>
      <t>0</t>
    </r>
    <r>
      <rPr>
        <b/>
        <sz val="10"/>
        <color indexed="59"/>
        <rFont val="Arial"/>
        <family val="2"/>
      </rPr>
      <t>/W</t>
    </r>
    <r>
      <rPr>
        <b/>
        <vertAlign val="subscript"/>
        <sz val="10"/>
        <color indexed="59"/>
        <rFont val="Arial"/>
        <family val="2"/>
      </rPr>
      <t>0</t>
    </r>
  </si>
  <si>
    <r>
      <t xml:space="preserve">- </t>
    </r>
    <r>
      <rPr>
        <b/>
        <sz val="10"/>
        <color indexed="17"/>
        <rFont val="Arial"/>
        <family val="2"/>
      </rPr>
      <t xml:space="preserve">PU        </t>
    </r>
  </si>
  <si>
    <r>
      <t xml:space="preserve">     at time = t  </t>
    </r>
    <r>
      <rPr>
        <b/>
        <sz val="12"/>
        <color indexed="16"/>
        <rFont val="Symbol"/>
        <family val="1"/>
      </rPr>
      <t xml:space="preserve">+ D </t>
    </r>
    <r>
      <rPr>
        <b/>
        <sz val="10"/>
        <color indexed="16"/>
        <rFont val="MS Sans Serif"/>
        <family val="2"/>
      </rPr>
      <t>&gt;</t>
    </r>
  </si>
  <si>
    <t xml:space="preserve">Cost of Sales   </t>
  </si>
  <si>
    <t xml:space="preserve">Trade   </t>
  </si>
  <si>
    <t xml:space="preserve">Minus Wages   </t>
  </si>
  <si>
    <t xml:space="preserve">Interaction   </t>
  </si>
  <si>
    <t xml:space="preserve">with Prices   </t>
  </si>
  <si>
    <t xml:space="preserve">Marginal Product   </t>
  </si>
  <si>
    <t xml:space="preserve">Intersection of   </t>
  </si>
  <si>
    <t xml:space="preserve">    E    </t>
  </si>
  <si>
    <t xml:space="preserve">    U + E </t>
  </si>
  <si>
    <t>&gt;</t>
  </si>
  <si>
    <t xml:space="preserve">    Interaction</t>
  </si>
  <si>
    <t xml:space="preserve">    with Values</t>
  </si>
  <si>
    <t>U + E</t>
  </si>
  <si>
    <r>
      <t xml:space="preserve"> </t>
    </r>
    <r>
      <rPr>
        <b/>
        <sz val="10"/>
        <color indexed="16"/>
        <rFont val="MS Sans Serif"/>
        <family val="2"/>
      </rPr>
      <t>&lt;</t>
    </r>
  </si>
  <si>
    <r>
      <t>(</t>
    </r>
    <r>
      <rPr>
        <b/>
        <sz val="12"/>
        <color indexed="12"/>
        <rFont val="Symbol"/>
        <family val="1"/>
      </rPr>
      <t>t+</t>
    </r>
    <r>
      <rPr>
        <b/>
        <sz val="10"/>
        <color indexed="12"/>
        <rFont val="Arial"/>
        <family val="2"/>
      </rPr>
      <t>Y)</t>
    </r>
    <r>
      <rPr>
        <b/>
        <sz val="12"/>
        <color indexed="12"/>
        <rFont val="Symbol"/>
        <family val="1"/>
      </rPr>
      <t xml:space="preserve"> </t>
    </r>
    <r>
      <rPr>
        <b/>
        <sz val="10"/>
        <color indexed="12"/>
        <rFont val="Arial"/>
        <family val="2"/>
      </rPr>
      <t>/</t>
    </r>
    <r>
      <rPr>
        <b/>
        <sz val="12"/>
        <color indexed="12"/>
        <rFont val="Symbol"/>
        <family val="1"/>
      </rPr>
      <t>l</t>
    </r>
  </si>
  <si>
    <r>
      <t xml:space="preserve">Prices </t>
    </r>
    <r>
      <rPr>
        <b/>
        <sz val="10"/>
        <color indexed="16"/>
        <rFont val="MS Sans Serif"/>
        <family val="2"/>
      </rPr>
      <t xml:space="preserve">&gt; </t>
    </r>
  </si>
  <si>
    <r>
      <t xml:space="preserve">Minus Sales </t>
    </r>
    <r>
      <rPr>
        <b/>
        <sz val="10"/>
        <color indexed="17"/>
        <rFont val="MS Sans Serif"/>
        <family val="2"/>
      </rPr>
      <t>&gt;</t>
    </r>
  </si>
  <si>
    <r>
      <t xml:space="preserve"> </t>
    </r>
    <r>
      <rPr>
        <b/>
        <sz val="10"/>
        <color indexed="16"/>
        <rFont val="MS Sans Serif"/>
        <family val="2"/>
      </rPr>
      <t xml:space="preserve">&lt; </t>
    </r>
    <r>
      <rPr>
        <b/>
        <sz val="10"/>
        <color indexed="16"/>
        <rFont val="Arial"/>
        <family val="2"/>
      </rPr>
      <t>Values</t>
    </r>
  </si>
  <si>
    <r>
      <t>&lt;</t>
    </r>
    <r>
      <rPr>
        <b/>
        <sz val="10"/>
        <color indexed="16"/>
        <rFont val="Arial"/>
        <family val="2"/>
      </rPr>
      <t xml:space="preserve"> of Utility</t>
    </r>
  </si>
  <si>
    <r>
      <t xml:space="preserve">    imports ( </t>
    </r>
    <r>
      <rPr>
        <b/>
        <sz val="12"/>
        <color indexed="16"/>
        <rFont val="Symbol"/>
        <family val="1"/>
      </rPr>
      <t>-</t>
    </r>
    <r>
      <rPr>
        <b/>
        <sz val="10"/>
        <color indexed="16"/>
        <rFont val="Arial"/>
        <family val="2"/>
      </rPr>
      <t xml:space="preserve"> )</t>
    </r>
  </si>
  <si>
    <t xml:space="preserve">System State   </t>
  </si>
  <si>
    <t xml:space="preserve">Maturing   </t>
  </si>
  <si>
    <r>
      <t xml:space="preserve"> </t>
    </r>
    <r>
      <rPr>
        <b/>
        <sz val="10"/>
        <color indexed="16"/>
        <rFont val="MS Sans Serif"/>
        <family val="2"/>
      </rPr>
      <t>&lt;</t>
    </r>
    <r>
      <rPr>
        <b/>
        <sz val="10"/>
        <color indexed="16"/>
        <rFont val="Arial"/>
        <family val="2"/>
      </rPr>
      <t xml:space="preserve"> Markets</t>
    </r>
  </si>
  <si>
    <r>
      <t xml:space="preserve"> </t>
    </r>
    <r>
      <rPr>
        <b/>
        <sz val="10"/>
        <color indexed="16"/>
        <rFont val="MS Sans Serif"/>
        <family val="2"/>
      </rPr>
      <t>&lt;</t>
    </r>
    <r>
      <rPr>
        <b/>
        <sz val="10"/>
        <color indexed="16"/>
        <rFont val="Arial"/>
        <family val="2"/>
      </rPr>
      <t xml:space="preserve"> Investment Term</t>
    </r>
  </si>
  <si>
    <r>
      <t xml:space="preserve">  &lt;</t>
    </r>
    <r>
      <rPr>
        <b/>
        <sz val="10"/>
        <color indexed="16"/>
        <rFont val="Arial"/>
        <family val="2"/>
      </rPr>
      <t xml:space="preserve"> Market Pressure</t>
    </r>
  </si>
  <si>
    <t xml:space="preserve">       1       </t>
  </si>
  <si>
    <r>
      <t xml:space="preserve">Marginal Costs of Production </t>
    </r>
    <r>
      <rPr>
        <b/>
        <sz val="10"/>
        <color indexed="12"/>
        <rFont val="MS Sans Serif"/>
        <family val="2"/>
      </rPr>
      <t>&gt;</t>
    </r>
  </si>
  <si>
    <r>
      <t xml:space="preserve">Monetary </t>
    </r>
    <r>
      <rPr>
        <b/>
        <sz val="10"/>
        <color indexed="17"/>
        <rFont val="MS Sans Serif"/>
        <family val="2"/>
      </rPr>
      <t xml:space="preserve">&gt; </t>
    </r>
  </si>
  <si>
    <t xml:space="preserve">Stocks </t>
  </si>
  <si>
    <t>Domestic</t>
  </si>
  <si>
    <t>Demand</t>
  </si>
  <si>
    <t>Supply</t>
  </si>
  <si>
    <t>S / D</t>
  </si>
  <si>
    <t>Factors</t>
  </si>
  <si>
    <t>Used</t>
  </si>
  <si>
    <t>Met</t>
  </si>
  <si>
    <r>
      <t xml:space="preserve"> </t>
    </r>
    <r>
      <rPr>
        <b/>
        <sz val="10"/>
        <color indexed="12"/>
        <rFont val="MS Sans Serif"/>
        <family val="2"/>
      </rPr>
      <t>&lt;</t>
    </r>
    <r>
      <rPr>
        <b/>
        <sz val="10"/>
        <color indexed="12"/>
        <rFont val="Arial"/>
        <family val="2"/>
      </rPr>
      <t xml:space="preserve"> Output</t>
    </r>
  </si>
  <si>
    <r>
      <t>Y</t>
    </r>
    <r>
      <rPr>
        <b/>
        <sz val="12"/>
        <color indexed="12"/>
        <rFont val="Symbol"/>
        <family val="1"/>
      </rPr>
      <t>t</t>
    </r>
  </si>
  <si>
    <t xml:space="preserve">   </t>
  </si>
  <si>
    <t>T</t>
  </si>
  <si>
    <t>(u + e)/h</t>
  </si>
  <si>
    <t>z = pl</t>
  </si>
  <si>
    <r>
      <t>&lt;</t>
    </r>
    <r>
      <rPr>
        <b/>
        <sz val="10"/>
        <color indexed="16"/>
        <rFont val="Arial"/>
        <family val="2"/>
      </rPr>
      <t xml:space="preserve"> V</t>
    </r>
  </si>
  <si>
    <r>
      <t xml:space="preserve">Investment Term </t>
    </r>
    <r>
      <rPr>
        <b/>
        <sz val="10"/>
        <color indexed="16"/>
        <rFont val="MS Sans Serif"/>
        <family val="2"/>
      </rPr>
      <t xml:space="preserve">&gt;  </t>
    </r>
  </si>
  <si>
    <r>
      <t xml:space="preserve">q = </t>
    </r>
    <r>
      <rPr>
        <b/>
        <sz val="10"/>
        <color indexed="22"/>
        <rFont val="Arial"/>
        <family val="2"/>
      </rPr>
      <t>P</t>
    </r>
    <r>
      <rPr>
        <b/>
        <vertAlign val="subscript"/>
        <sz val="10"/>
        <color indexed="22"/>
        <rFont val="Arial"/>
        <family val="2"/>
      </rPr>
      <t>0</t>
    </r>
    <r>
      <rPr>
        <b/>
        <sz val="12"/>
        <color indexed="22"/>
        <rFont val="Symbol"/>
        <family val="1"/>
      </rPr>
      <t>Q</t>
    </r>
  </si>
  <si>
    <r>
      <t>1/(N</t>
    </r>
    <r>
      <rPr>
        <b/>
        <sz val="8"/>
        <color indexed="22"/>
        <rFont val="Symbol"/>
        <family val="1"/>
      </rPr>
      <t>+</t>
    </r>
    <r>
      <rPr>
        <b/>
        <sz val="8"/>
        <color indexed="22"/>
        <rFont val="Arial"/>
        <family val="2"/>
      </rPr>
      <t>1)</t>
    </r>
  </si>
  <si>
    <r>
      <t>(</t>
    </r>
    <r>
      <rPr>
        <b/>
        <sz val="12"/>
        <color indexed="22"/>
        <rFont val="Symbol"/>
        <family val="1"/>
      </rPr>
      <t>p</t>
    </r>
    <r>
      <rPr>
        <b/>
        <sz val="10"/>
        <color indexed="22"/>
        <rFont val="Arial"/>
        <family val="2"/>
      </rPr>
      <t>ZPU)</t>
    </r>
  </si>
  <si>
    <r>
      <t>(</t>
    </r>
    <r>
      <rPr>
        <b/>
        <sz val="10"/>
        <color indexed="22"/>
        <rFont val="Arial"/>
        <family val="2"/>
      </rPr>
      <t xml:space="preserve">PU + </t>
    </r>
    <r>
      <rPr>
        <b/>
        <sz val="12"/>
        <color indexed="22"/>
        <rFont val="Symbol"/>
        <family val="1"/>
      </rPr>
      <t>s)/</t>
    </r>
    <r>
      <rPr>
        <b/>
        <sz val="10"/>
        <color indexed="22"/>
        <rFont val="Arial"/>
        <family val="2"/>
      </rPr>
      <t>N</t>
    </r>
  </si>
  <si>
    <r>
      <t xml:space="preserve">(1 </t>
    </r>
    <r>
      <rPr>
        <b/>
        <sz val="12"/>
        <color indexed="16"/>
        <rFont val="Symbol"/>
        <family val="1"/>
      </rPr>
      <t>- n</t>
    </r>
    <r>
      <rPr>
        <b/>
        <sz val="10"/>
        <color indexed="16"/>
        <rFont val="Arial"/>
        <family val="2"/>
      </rPr>
      <t>)</t>
    </r>
    <r>
      <rPr>
        <b/>
        <vertAlign val="superscript"/>
        <sz val="12"/>
        <color indexed="16"/>
        <rFont val="Arial"/>
        <family val="2"/>
      </rPr>
      <t>T</t>
    </r>
  </si>
  <si>
    <t>- s</t>
  </si>
  <si>
    <r>
      <t xml:space="preserve">any data set in </t>
    </r>
    <r>
      <rPr>
        <b/>
        <sz val="12"/>
        <color indexed="10"/>
        <rFont val="Arial"/>
        <family val="2"/>
      </rPr>
      <t>red</t>
    </r>
    <r>
      <rPr>
        <b/>
        <sz val="12"/>
        <rFont val="Arial"/>
        <family val="2"/>
      </rPr>
      <t xml:space="preserve"> type that</t>
    </r>
  </si>
  <si>
    <t>Value</t>
  </si>
  <si>
    <r>
      <t xml:space="preserve">Currency </t>
    </r>
    <r>
      <rPr>
        <b/>
        <sz val="10"/>
        <color indexed="16"/>
        <rFont val="MS Sans Serif"/>
        <family val="2"/>
      </rPr>
      <t xml:space="preserve">&gt; </t>
    </r>
  </si>
  <si>
    <r>
      <t>G</t>
    </r>
    <r>
      <rPr>
        <b/>
        <sz val="12"/>
        <rFont val="Symbol"/>
        <family val="1"/>
      </rPr>
      <t>/</t>
    </r>
    <r>
      <rPr>
        <b/>
        <sz val="10"/>
        <color indexed="17"/>
        <rFont val="Arial"/>
        <family val="2"/>
      </rPr>
      <t>$</t>
    </r>
  </si>
  <si>
    <t xml:space="preserve"> U </t>
  </si>
  <si>
    <r>
      <t>Y</t>
    </r>
    <r>
      <rPr>
        <b/>
        <sz val="10"/>
        <color indexed="58"/>
        <rFont val="Arial"/>
        <family val="2"/>
      </rPr>
      <t xml:space="preserve">Y   </t>
    </r>
  </si>
  <si>
    <r>
      <t xml:space="preserve"> </t>
    </r>
    <r>
      <rPr>
        <b/>
        <sz val="10"/>
        <color indexed="16"/>
        <rFont val="MS Sans Serif"/>
        <family val="2"/>
      </rPr>
      <t>&lt;</t>
    </r>
    <r>
      <rPr>
        <b/>
        <sz val="10"/>
        <color indexed="16"/>
        <rFont val="Arial"/>
        <family val="2"/>
      </rPr>
      <t xml:space="preserve"> K= 1</t>
    </r>
  </si>
  <si>
    <r>
      <t xml:space="preserve"> </t>
    </r>
    <r>
      <rPr>
        <b/>
        <sz val="10"/>
        <color indexed="16"/>
        <rFont val="MS Sans Serif"/>
        <family val="2"/>
      </rPr>
      <t>&lt;</t>
    </r>
    <r>
      <rPr>
        <b/>
        <sz val="10"/>
        <color indexed="16"/>
        <rFont val="Arial"/>
        <family val="2"/>
      </rPr>
      <t xml:space="preserve"> K= 2</t>
    </r>
  </si>
  <si>
    <t>Economy</t>
  </si>
  <si>
    <t>Valuations</t>
  </si>
  <si>
    <r>
      <t xml:space="preserve">&lt; </t>
    </r>
    <r>
      <rPr>
        <b/>
        <sz val="10"/>
        <color indexed="16"/>
        <rFont val="Arial"/>
        <family val="2"/>
      </rPr>
      <t xml:space="preserve">Global Supply and Demand </t>
    </r>
    <r>
      <rPr>
        <b/>
        <sz val="10"/>
        <color indexed="16"/>
        <rFont val="MS Sans Serif"/>
        <family val="2"/>
      </rPr>
      <t>&gt;</t>
    </r>
  </si>
  <si>
    <t>G</t>
  </si>
  <si>
    <t>Savings</t>
  </si>
  <si>
    <r>
      <t>G</t>
    </r>
    <r>
      <rPr>
        <b/>
        <sz val="12"/>
        <color indexed="16"/>
        <rFont val="Symbol"/>
        <family val="1"/>
      </rPr>
      <t>/</t>
    </r>
    <r>
      <rPr>
        <b/>
        <sz val="10"/>
        <color indexed="16"/>
        <rFont val="Arial"/>
        <family val="2"/>
      </rPr>
      <t>year</t>
    </r>
  </si>
  <si>
    <r>
      <t>G</t>
    </r>
  </si>
  <si>
    <r>
      <t>1</t>
    </r>
    <r>
      <rPr>
        <b/>
        <sz val="12"/>
        <color indexed="16"/>
        <rFont val="Symbol"/>
        <family val="1"/>
      </rPr>
      <t>+n</t>
    </r>
    <r>
      <rPr>
        <b/>
        <sz val="10"/>
        <color indexed="16"/>
        <rFont val="Arial"/>
        <family val="2"/>
      </rPr>
      <t>T</t>
    </r>
    <r>
      <rPr>
        <b/>
        <sz val="12"/>
        <color indexed="16"/>
        <rFont val="Symbol"/>
        <family val="1"/>
      </rPr>
      <t>k/G</t>
    </r>
  </si>
  <si>
    <r>
      <t xml:space="preserve">&lt; </t>
    </r>
    <r>
      <rPr>
        <b/>
        <sz val="10"/>
        <color indexed="16"/>
        <rFont val="Arial"/>
        <family val="2"/>
      </rPr>
      <t>Investment Term</t>
    </r>
  </si>
  <si>
    <r>
      <t xml:space="preserve">Interest Rate </t>
    </r>
    <r>
      <rPr>
        <b/>
        <sz val="10"/>
        <color indexed="16"/>
        <rFont val="MS Sans Serif"/>
        <family val="2"/>
      </rPr>
      <t xml:space="preserve">&gt;  </t>
    </r>
  </si>
  <si>
    <t>Output Valuations</t>
  </si>
  <si>
    <t>Term</t>
  </si>
  <si>
    <t>Calculation</t>
  </si>
  <si>
    <r>
      <t xml:space="preserve">Turnover Fractions </t>
    </r>
    <r>
      <rPr>
        <b/>
        <sz val="10"/>
        <color indexed="16"/>
        <rFont val="MS Sans Serif"/>
        <family val="2"/>
      </rPr>
      <t xml:space="preserve">&gt;  </t>
    </r>
  </si>
  <si>
    <t>e -</t>
  </si>
  <si>
    <t>e +</t>
  </si>
  <si>
    <r>
      <t xml:space="preserve">     </t>
    </r>
    <r>
      <rPr>
        <b/>
        <sz val="10"/>
        <color indexed="16"/>
        <rFont val="Arial"/>
        <family val="2"/>
      </rPr>
      <t>System State</t>
    </r>
  </si>
  <si>
    <r>
      <t xml:space="preserve">     at time = 0</t>
    </r>
    <r>
      <rPr>
        <b/>
        <sz val="12"/>
        <color indexed="16"/>
        <rFont val="Symbol"/>
        <family val="1"/>
      </rPr>
      <t xml:space="preserve"> </t>
    </r>
    <r>
      <rPr>
        <b/>
        <sz val="10"/>
        <color indexed="16"/>
        <rFont val="MS Sans Serif"/>
        <family val="2"/>
      </rPr>
      <t>&gt;</t>
    </r>
  </si>
  <si>
    <r>
      <t xml:space="preserve">Monetary </t>
    </r>
    <r>
      <rPr>
        <b/>
        <sz val="10"/>
        <color indexed="19"/>
        <rFont val="MS Sans Serif"/>
        <family val="2"/>
      </rPr>
      <t xml:space="preserve">&gt; </t>
    </r>
  </si>
  <si>
    <r>
      <t xml:space="preserve">Balance </t>
    </r>
    <r>
      <rPr>
        <b/>
        <sz val="10"/>
        <color indexed="19"/>
        <rFont val="MS Sans Serif"/>
        <family val="2"/>
      </rPr>
      <t>&gt;</t>
    </r>
  </si>
  <si>
    <r>
      <t xml:space="preserve">Consumption </t>
    </r>
    <r>
      <rPr>
        <b/>
        <sz val="10"/>
        <color indexed="19"/>
        <rFont val="MS Sans Serif"/>
        <family val="2"/>
      </rPr>
      <t>&gt;</t>
    </r>
  </si>
  <si>
    <r>
      <t xml:space="preserve">Minus Sales </t>
    </r>
    <r>
      <rPr>
        <b/>
        <sz val="10"/>
        <color indexed="19"/>
        <rFont val="MS Sans Serif"/>
        <family val="2"/>
      </rPr>
      <t>&gt;</t>
    </r>
  </si>
  <si>
    <r>
      <t xml:space="preserve">Dividends </t>
    </r>
    <r>
      <rPr>
        <b/>
        <sz val="10"/>
        <color indexed="19"/>
        <rFont val="MS Sans Serif"/>
        <family val="2"/>
      </rPr>
      <t>&gt;</t>
    </r>
  </si>
  <si>
    <r>
      <t xml:space="preserve"> </t>
    </r>
    <r>
      <rPr>
        <b/>
        <sz val="10"/>
        <color indexed="19"/>
        <rFont val="MS Sans Serif"/>
        <family val="2"/>
      </rPr>
      <t>&lt;</t>
    </r>
    <r>
      <rPr>
        <b/>
        <sz val="10"/>
        <color indexed="19"/>
        <rFont val="Arial"/>
        <family val="2"/>
      </rPr>
      <t xml:space="preserve"> Transactions</t>
    </r>
  </si>
  <si>
    <r>
      <t xml:space="preserve">- </t>
    </r>
    <r>
      <rPr>
        <b/>
        <sz val="10"/>
        <color indexed="19"/>
        <rFont val="Arial"/>
        <family val="2"/>
      </rPr>
      <t xml:space="preserve">PU        </t>
    </r>
  </si>
  <si>
    <r>
      <t>H</t>
    </r>
    <r>
      <rPr>
        <b/>
        <sz val="12"/>
        <color indexed="19"/>
        <rFont val="Symbol"/>
        <family val="1"/>
      </rPr>
      <t>z</t>
    </r>
  </si>
  <si>
    <r>
      <t>H</t>
    </r>
    <r>
      <rPr>
        <b/>
        <sz val="12"/>
        <color indexed="19"/>
        <rFont val="Symbol"/>
        <family val="1"/>
      </rPr>
      <t>b</t>
    </r>
  </si>
  <si>
    <r>
      <t xml:space="preserve">Principal </t>
    </r>
    <r>
      <rPr>
        <b/>
        <sz val="10"/>
        <color indexed="19"/>
        <rFont val="MS Sans Serif"/>
        <family val="2"/>
      </rPr>
      <t xml:space="preserve">&gt; </t>
    </r>
  </si>
  <si>
    <r>
      <t>Y</t>
    </r>
    <r>
      <rPr>
        <b/>
        <vertAlign val="subscript"/>
        <sz val="10"/>
        <color indexed="16"/>
        <rFont val="Arial"/>
        <family val="2"/>
      </rPr>
      <t>L</t>
    </r>
    <r>
      <rPr>
        <b/>
        <sz val="10"/>
        <color indexed="16"/>
        <rFont val="Arial"/>
        <family val="2"/>
      </rPr>
      <t xml:space="preserve"> </t>
    </r>
    <r>
      <rPr>
        <b/>
        <sz val="12"/>
        <color indexed="16"/>
        <rFont val="Symbol"/>
        <family val="1"/>
      </rPr>
      <t xml:space="preserve">= - </t>
    </r>
    <r>
      <rPr>
        <b/>
        <sz val="10"/>
        <color indexed="16"/>
        <rFont val="Arial"/>
        <family val="2"/>
      </rPr>
      <t>Leisure</t>
    </r>
  </si>
  <si>
    <r>
      <t xml:space="preserve">  </t>
    </r>
    <r>
      <rPr>
        <b/>
        <sz val="10"/>
        <color indexed="16"/>
        <rFont val="MS Sans Serif"/>
        <family val="2"/>
      </rPr>
      <t>&lt;</t>
    </r>
    <r>
      <rPr>
        <b/>
        <sz val="10"/>
        <color indexed="16"/>
        <rFont val="Arial"/>
        <family val="2"/>
      </rPr>
      <t xml:space="preserve"> Production</t>
    </r>
  </si>
  <si>
    <r>
      <t>&lt;</t>
    </r>
    <r>
      <rPr>
        <b/>
        <sz val="10"/>
        <color indexed="16"/>
        <rFont val="Arial"/>
        <family val="2"/>
      </rPr>
      <t xml:space="preserve"> Temporal Parameters, i.e.: Turnover Fractions </t>
    </r>
    <r>
      <rPr>
        <b/>
        <sz val="10"/>
        <color indexed="16"/>
        <rFont val="MS Sans Serif"/>
        <family val="2"/>
      </rPr>
      <t>&gt;</t>
    </r>
  </si>
  <si>
    <t>NCF</t>
  </si>
  <si>
    <t xml:space="preserve">Financial   </t>
  </si>
  <si>
    <r>
      <t xml:space="preserve">Intermediation </t>
    </r>
    <r>
      <rPr>
        <b/>
        <sz val="10"/>
        <color indexed="19"/>
        <rFont val="MS Sans Serif"/>
        <family val="2"/>
      </rPr>
      <t>&gt;</t>
    </r>
  </si>
  <si>
    <r>
      <t xml:space="preserve">Intermediation </t>
    </r>
    <r>
      <rPr>
        <b/>
        <sz val="10"/>
        <color indexed="17"/>
        <rFont val="MS Sans Serif"/>
        <family val="2"/>
      </rPr>
      <t>&gt;</t>
    </r>
  </si>
  <si>
    <r>
      <t>-F</t>
    </r>
    <r>
      <rPr>
        <b/>
        <sz val="10"/>
        <color indexed="16"/>
        <rFont val="MS Sans Serif"/>
        <family val="2"/>
      </rPr>
      <t xml:space="preserve"> </t>
    </r>
  </si>
  <si>
    <r>
      <t>1</t>
    </r>
    <r>
      <rPr>
        <b/>
        <sz val="12"/>
        <color indexed="16"/>
        <rFont val="Symbol"/>
        <family val="1"/>
      </rPr>
      <t>+n</t>
    </r>
    <r>
      <rPr>
        <b/>
        <sz val="10"/>
        <color indexed="16"/>
        <rFont val="Arial"/>
        <family val="2"/>
      </rPr>
      <t>T</t>
    </r>
    <r>
      <rPr>
        <b/>
        <sz val="12"/>
        <color indexed="16"/>
        <rFont val="Symbol"/>
        <family val="1"/>
      </rPr>
      <t xml:space="preserve">k/g </t>
    </r>
  </si>
  <si>
    <r>
      <t xml:space="preserve"> Interest Rate </t>
    </r>
    <r>
      <rPr>
        <b/>
        <sz val="10"/>
        <color indexed="16"/>
        <rFont val="MS Sans Serif"/>
        <family val="2"/>
      </rPr>
      <t xml:space="preserve">&gt;  </t>
    </r>
  </si>
  <si>
    <t xml:space="preserve">Domestic   </t>
  </si>
  <si>
    <r>
      <t xml:space="preserve">Investment Term Calculation </t>
    </r>
    <r>
      <rPr>
        <b/>
        <sz val="10"/>
        <color indexed="16"/>
        <rFont val="MS Sans Serif"/>
        <family val="2"/>
      </rPr>
      <t xml:space="preserve">  </t>
    </r>
  </si>
  <si>
    <r>
      <t>(</t>
    </r>
    <r>
      <rPr>
        <b/>
        <sz val="12"/>
        <color indexed="19"/>
        <rFont val="Symbol"/>
        <family val="1"/>
      </rPr>
      <t>h/w-</t>
    </r>
    <r>
      <rPr>
        <b/>
        <sz val="10"/>
        <color indexed="19"/>
        <rFont val="Arial"/>
        <family val="2"/>
      </rPr>
      <t>1)</t>
    </r>
  </si>
  <si>
    <t>-f</t>
  </si>
  <si>
    <r>
      <t>(</t>
    </r>
    <r>
      <rPr>
        <b/>
        <sz val="12"/>
        <color indexed="17"/>
        <rFont val="Symbol"/>
        <family val="1"/>
      </rPr>
      <t>h/w-</t>
    </r>
    <r>
      <rPr>
        <b/>
        <sz val="10"/>
        <color indexed="17"/>
        <rFont val="Arial"/>
        <family val="2"/>
      </rPr>
      <t>1)</t>
    </r>
  </si>
  <si>
    <r>
      <t>G</t>
    </r>
    <r>
      <rPr>
        <b/>
        <sz val="12"/>
        <rFont val="Symbol"/>
        <family val="1"/>
      </rPr>
      <t>/</t>
    </r>
    <r>
      <rPr>
        <b/>
        <sz val="10"/>
        <color indexed="19"/>
        <rFont val="Arial"/>
        <family val="2"/>
      </rPr>
      <t>$</t>
    </r>
  </si>
  <si>
    <t xml:space="preserve">     u      </t>
  </si>
  <si>
    <r>
      <t xml:space="preserve">   </t>
    </r>
    <r>
      <rPr>
        <b/>
        <sz val="10"/>
        <color indexed="19"/>
        <rFont val="Arial"/>
        <family val="2"/>
      </rPr>
      <t>$</t>
    </r>
    <r>
      <rPr>
        <b/>
        <sz val="10"/>
        <rFont val="Arial"/>
        <family val="2"/>
      </rPr>
      <t>/unit</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</si>
</sst>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_)"/>
    <numFmt numFmtId="166" formatCode="0.0000_)"/>
    <numFmt numFmtId="167" formatCode="0.00_)"/>
    <numFmt numFmtId="168" formatCode="0.0_);\(0.0\)"/>
    <numFmt numFmtId="169" formatCode="0.0000_);\(0.0000\)"/>
    <numFmt numFmtId="170" formatCode="0.000_);\(0.000\)"/>
    <numFmt numFmtId="171" formatCode="0.00_);\(0.00\)"/>
    <numFmt numFmtId="172" formatCode="0.0_)"/>
    <numFmt numFmtId="173" formatCode="0.0000"/>
    <numFmt numFmtId="174" formatCode="0.000"/>
    <numFmt numFmtId="175" formatCode="0.0"/>
    <numFmt numFmtId="176" formatCode="0.000000"/>
    <numFmt numFmtId="177" formatCode="0.00000"/>
    <numFmt numFmtId="178" formatCode="0.0E+00_)"/>
    <numFmt numFmtId="179" formatCode="0.0E+00"/>
    <numFmt numFmtId="180" formatCode="0.0%"/>
  </numFmts>
  <fonts count="101">
    <font>
      <sz val="10"/>
      <name val="Courier New"/>
      <family val="3"/>
    </font>
    <font>
      <sz val="10"/>
      <color indexed="8"/>
      <name val="Arial"/>
      <family val="2"/>
    </font>
    <font>
      <b/>
      <sz val="12"/>
      <name val="Arial"/>
      <family val="2"/>
    </font>
    <font>
      <b/>
      <sz val="10"/>
      <color indexed="58"/>
      <name val="Arial"/>
      <family val="2"/>
    </font>
    <font>
      <b/>
      <sz val="10"/>
      <name val="Arial"/>
      <family val="2"/>
    </font>
    <font>
      <b/>
      <sz val="10"/>
      <color indexed="10"/>
      <name val="Arial"/>
      <family val="2"/>
    </font>
    <font>
      <b/>
      <sz val="10"/>
      <color indexed="16"/>
      <name val="Arial"/>
      <family val="2"/>
    </font>
    <font>
      <b/>
      <sz val="10"/>
      <color indexed="16"/>
      <name val="MS Sans Serif"/>
      <family val="2"/>
    </font>
    <font>
      <sz val="10"/>
      <color indexed="12"/>
      <name val="MS Sans Serif"/>
      <family val="2"/>
    </font>
    <font>
      <b/>
      <sz val="12"/>
      <color indexed="17"/>
      <name val="Symbol"/>
      <family val="1"/>
    </font>
    <font>
      <b/>
      <sz val="12"/>
      <color indexed="16"/>
      <name val="MS Sans Serif"/>
      <family val="2"/>
    </font>
    <font>
      <b/>
      <sz val="12"/>
      <color indexed="16"/>
      <name val="Symbol"/>
      <family val="1"/>
    </font>
    <font>
      <b/>
      <sz val="12"/>
      <color indexed="58"/>
      <name val="Symbol"/>
      <family val="1"/>
    </font>
    <font>
      <b/>
      <vertAlign val="subscript"/>
      <sz val="10"/>
      <color indexed="16"/>
      <name val="Arial"/>
      <family val="2"/>
    </font>
    <font>
      <b/>
      <sz val="10"/>
      <color indexed="17"/>
      <name val="Arial"/>
      <family val="2"/>
    </font>
    <font>
      <b/>
      <sz val="8"/>
      <color indexed="8"/>
      <name val="Tahoma"/>
      <family val="2"/>
    </font>
    <font>
      <sz val="8"/>
      <color indexed="8"/>
      <name val="Tahoma"/>
      <family val="2"/>
    </font>
    <font>
      <sz val="10"/>
      <color indexed="22"/>
      <name val="Arial"/>
      <family val="2"/>
    </font>
    <font>
      <b/>
      <sz val="10"/>
      <color indexed="58"/>
      <name val="Symbol"/>
      <family val="1"/>
    </font>
    <font>
      <sz val="12"/>
      <color indexed="16"/>
      <name val="Symbol"/>
      <family val="1"/>
    </font>
    <font>
      <sz val="12"/>
      <color indexed="58"/>
      <name val="Symbol"/>
      <family val="1"/>
    </font>
    <font>
      <b/>
      <sz val="10"/>
      <color indexed="12"/>
      <name val="Arial"/>
      <family val="2"/>
    </font>
    <font>
      <b/>
      <sz val="12"/>
      <color indexed="12"/>
      <name val="Symbol"/>
      <family val="1"/>
    </font>
    <font>
      <sz val="10"/>
      <color indexed="12"/>
      <name val="Courier New"/>
      <family val="3"/>
    </font>
    <font>
      <b/>
      <sz val="10"/>
      <color indexed="16"/>
      <name val="Symbol"/>
      <family val="1"/>
    </font>
    <font>
      <b/>
      <sz val="10"/>
      <color indexed="17"/>
      <name val="Symbol"/>
      <family val="1"/>
    </font>
    <font>
      <b/>
      <sz val="10"/>
      <color indexed="17"/>
      <name val="MS Sans Serif"/>
      <family val="2"/>
    </font>
    <font>
      <b/>
      <sz val="8"/>
      <color indexed="16"/>
      <name val="Arial"/>
      <family val="2"/>
    </font>
    <font>
      <b/>
      <sz val="12"/>
      <color indexed="16"/>
      <name val="Arial"/>
      <family val="2"/>
    </font>
    <font>
      <sz val="10"/>
      <color indexed="9"/>
      <name val="Courier New"/>
      <family val="3"/>
    </font>
    <font>
      <b/>
      <sz val="12"/>
      <name val="Arial Narrow"/>
      <family val="2"/>
    </font>
    <font>
      <b/>
      <sz val="10"/>
      <name val="Courier New"/>
      <family val="3"/>
    </font>
    <font>
      <b/>
      <sz val="12"/>
      <name val="Courier New"/>
      <family val="3"/>
    </font>
    <font>
      <b/>
      <vertAlign val="subscript"/>
      <sz val="12"/>
      <name val="Symbol"/>
      <family val="1"/>
    </font>
    <font>
      <b/>
      <sz val="14"/>
      <name val="Symbol"/>
      <family val="1"/>
    </font>
    <font>
      <b/>
      <vertAlign val="subscript"/>
      <sz val="10"/>
      <name val="Courier New"/>
      <family val="3"/>
    </font>
    <font>
      <sz val="10"/>
      <name val="Arial"/>
      <family val="2"/>
    </font>
    <font>
      <b/>
      <sz val="10"/>
      <name val="Symbol"/>
      <family val="1"/>
    </font>
    <font>
      <vertAlign val="subscript"/>
      <sz val="10"/>
      <name val="Symbol"/>
      <family val="1"/>
    </font>
    <font>
      <vertAlign val="subscript"/>
      <sz val="10"/>
      <name val="Arial"/>
      <family val="2"/>
    </font>
    <font>
      <b/>
      <sz val="10"/>
      <name val="MS Serif"/>
      <family val="1"/>
    </font>
    <font>
      <b/>
      <strike/>
      <sz val="10"/>
      <color indexed="16"/>
      <name val="Arial"/>
      <family val="2"/>
    </font>
    <font>
      <sz val="10"/>
      <color indexed="27"/>
      <name val="Courier New"/>
      <family val="3"/>
    </font>
    <font>
      <sz val="10"/>
      <name val="Courier"/>
      <family val="3"/>
    </font>
    <font>
      <sz val="10"/>
      <color indexed="55"/>
      <name val="MS Sans Serif"/>
      <family val="2"/>
    </font>
    <font>
      <sz val="10"/>
      <color indexed="55"/>
      <name val="Arial"/>
      <family val="2"/>
    </font>
    <font>
      <b/>
      <sz val="12"/>
      <name val="Symbol"/>
      <family val="1"/>
    </font>
    <font>
      <b/>
      <strike/>
      <sz val="10"/>
      <color indexed="58"/>
      <name val="Arial"/>
      <family val="2"/>
    </font>
    <font>
      <b/>
      <u val="single"/>
      <sz val="10"/>
      <color indexed="16"/>
      <name val="Arial"/>
      <family val="2"/>
    </font>
    <font>
      <b/>
      <sz val="10"/>
      <color indexed="12"/>
      <name val="MS Sans Serif"/>
      <family val="2"/>
    </font>
    <font>
      <sz val="10"/>
      <name val="MS Sans Serif"/>
      <family val="2"/>
    </font>
    <font>
      <sz val="10"/>
      <color indexed="9"/>
      <name val="Arial"/>
      <family val="2"/>
    </font>
    <font>
      <b/>
      <sz val="10"/>
      <color indexed="22"/>
      <name val="Arial"/>
      <family val="2"/>
    </font>
    <font>
      <b/>
      <sz val="12"/>
      <color indexed="22"/>
      <name val="Symbol"/>
      <family val="1"/>
    </font>
    <font>
      <b/>
      <sz val="10"/>
      <color indexed="52"/>
      <name val="Arial"/>
      <family val="2"/>
    </font>
    <font>
      <sz val="10"/>
      <color indexed="52"/>
      <name val="Courier New"/>
      <family val="3"/>
    </font>
    <font>
      <u val="double"/>
      <sz val="10"/>
      <name val="Courier"/>
      <family val="3"/>
    </font>
    <font>
      <sz val="10"/>
      <color indexed="17"/>
      <name val="Courier New"/>
      <family val="3"/>
    </font>
    <font>
      <sz val="10"/>
      <color indexed="60"/>
      <name val="Courier New"/>
      <family val="3"/>
    </font>
    <font>
      <b/>
      <vertAlign val="superscript"/>
      <sz val="12"/>
      <color indexed="16"/>
      <name val="Arial"/>
      <family val="2"/>
    </font>
    <font>
      <b/>
      <sz val="12"/>
      <color indexed="59"/>
      <name val="Symbol"/>
      <family val="1"/>
    </font>
    <font>
      <b/>
      <sz val="10"/>
      <color indexed="59"/>
      <name val="Arial"/>
      <family val="2"/>
    </font>
    <font>
      <b/>
      <vertAlign val="subscript"/>
      <sz val="10"/>
      <color indexed="59"/>
      <name val="Arial"/>
      <family val="2"/>
    </font>
    <font>
      <u val="single"/>
      <sz val="10"/>
      <color indexed="17"/>
      <name val="Courier"/>
      <family val="3"/>
    </font>
    <font>
      <sz val="10"/>
      <color indexed="22"/>
      <name val="MS Sans Serif"/>
      <family val="2"/>
    </font>
    <font>
      <b/>
      <vertAlign val="subscript"/>
      <sz val="10"/>
      <color indexed="22"/>
      <name val="Arial"/>
      <family val="2"/>
    </font>
    <font>
      <sz val="10"/>
      <color indexed="22"/>
      <name val="Courier New"/>
      <family val="3"/>
    </font>
    <font>
      <u val="double"/>
      <sz val="10"/>
      <color indexed="22"/>
      <name val="Courier"/>
      <family val="3"/>
    </font>
    <font>
      <b/>
      <sz val="8"/>
      <color indexed="22"/>
      <name val="Symbol"/>
      <family val="1"/>
    </font>
    <font>
      <b/>
      <sz val="8"/>
      <color indexed="22"/>
      <name val="Arial"/>
      <family val="2"/>
    </font>
    <font>
      <u val="single"/>
      <sz val="10"/>
      <color indexed="22"/>
      <name val="Courier"/>
      <family val="3"/>
    </font>
    <font>
      <b/>
      <sz val="12"/>
      <color indexed="10"/>
      <name val="Arial"/>
      <family val="2"/>
    </font>
    <font>
      <b/>
      <sz val="10"/>
      <color indexed="19"/>
      <name val="Arial"/>
      <family val="2"/>
    </font>
    <font>
      <b/>
      <sz val="10"/>
      <color indexed="19"/>
      <name val="MS Sans Serif"/>
      <family val="2"/>
    </font>
    <font>
      <b/>
      <sz val="12"/>
      <color indexed="19"/>
      <name val="Symbol"/>
      <family val="1"/>
    </font>
    <font>
      <u val="single"/>
      <sz val="10"/>
      <color indexed="19"/>
      <name val="Courier"/>
      <family val="3"/>
    </font>
    <font>
      <b/>
      <sz val="10"/>
      <color indexed="19"/>
      <name val="Symbol"/>
      <family val="1"/>
    </font>
    <font>
      <b/>
      <sz val="10"/>
      <color indexed="63"/>
      <name val="Arial"/>
      <family val="2"/>
    </font>
    <font>
      <b/>
      <sz val="8"/>
      <color indexed="19"/>
      <name val="Arial"/>
      <family val="2"/>
    </font>
    <font>
      <b/>
      <sz val="8"/>
      <color indexed="17"/>
      <name val="Arial"/>
      <family val="2"/>
    </font>
    <font>
      <b/>
      <u val="single"/>
      <sz val="12"/>
      <color indexed="19"/>
      <name val="Symbol"/>
      <family val="1"/>
    </font>
    <font>
      <b/>
      <u val="single"/>
      <sz val="12"/>
      <color indexed="17"/>
      <name val="Symbol"/>
      <family val="1"/>
    </font>
    <font>
      <b/>
      <sz val="10"/>
      <color indexed="8"/>
      <name val="MS Sans Serif"/>
      <family val="0"/>
    </font>
    <font>
      <sz val="18"/>
      <color indexed="62"/>
      <name val="Cambria"/>
      <family val="2"/>
    </font>
    <font>
      <b/>
      <sz val="15"/>
      <color indexed="62"/>
      <name val="Arial"/>
      <family val="2"/>
    </font>
    <font>
      <b/>
      <sz val="13"/>
      <color indexed="62"/>
      <name val="Arial"/>
      <family val="2"/>
    </font>
    <font>
      <b/>
      <sz val="11"/>
      <color indexed="62"/>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b/>
      <sz val="12"/>
      <color indexed="8"/>
      <name val="Arial"/>
      <family val="2"/>
    </font>
    <font>
      <sz val="10"/>
      <color indexed="8"/>
      <name val="Courier New"/>
      <family val="3"/>
    </font>
    <font>
      <b/>
      <sz val="8"/>
      <color indexed="8"/>
      <name val="Arial"/>
      <family val="2"/>
    </font>
    <font>
      <sz val="7.35"/>
      <color indexed="8"/>
      <name val="Arial"/>
      <family val="2"/>
    </font>
    <font>
      <b/>
      <sz val="8"/>
      <name val="Courier New"/>
      <family val="2"/>
    </font>
  </fonts>
  <fills count="33">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41"/>
        <bgColor indexed="64"/>
      </patternFill>
    </fill>
    <fill>
      <patternFill patternType="solid">
        <fgColor indexed="31"/>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2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2"/>
        <bgColor indexed="64"/>
      </patternFill>
    </fill>
    <fill>
      <patternFill patternType="solid">
        <fgColor indexed="46"/>
        <bgColor indexed="64"/>
      </patternFill>
    </fill>
    <fill>
      <patternFill patternType="solid">
        <fgColor indexed="49"/>
        <bgColor indexed="64"/>
      </patternFill>
    </fill>
    <fill>
      <patternFill patternType="solid">
        <fgColor indexed="42"/>
        <bgColor indexed="64"/>
      </patternFill>
    </fill>
    <fill>
      <patternFill patternType="solid">
        <fgColor indexed="27"/>
        <bgColor indexed="64"/>
      </patternFill>
    </fill>
    <fill>
      <patternFill patternType="solid">
        <fgColor indexed="49"/>
        <bgColor indexed="64"/>
      </patternFill>
    </fill>
    <fill>
      <patternFill patternType="solid">
        <fgColor indexed="15"/>
        <bgColor indexed="64"/>
      </patternFill>
    </fill>
    <fill>
      <patternFill patternType="solid">
        <fgColor indexed="15"/>
        <bgColor indexed="64"/>
      </patternFill>
    </fill>
    <fill>
      <patternFill patternType="solid">
        <fgColor indexed="13"/>
        <bgColor indexed="64"/>
      </patternFill>
    </fill>
    <fill>
      <patternFill patternType="solid">
        <fgColor indexed="22"/>
        <bgColor indexed="64"/>
      </patternFill>
    </fill>
    <fill>
      <patternFill patternType="solid">
        <fgColor indexed="13"/>
        <bgColor indexed="64"/>
      </patternFill>
    </fill>
    <fill>
      <patternFill patternType="solid">
        <fgColor indexed="15"/>
        <bgColor indexed="64"/>
      </patternFill>
    </fill>
    <fill>
      <patternFill patternType="solid">
        <fgColor indexed="43"/>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indexed="8"/>
      </left>
      <right style="thin">
        <color indexed="8"/>
      </right>
      <top style="thin">
        <color indexed="8"/>
      </top>
      <bottom style="medium">
        <color indexed="8"/>
      </bottom>
    </border>
    <border>
      <left/>
      <right/>
      <top style="thin">
        <color indexed="8"/>
      </top>
      <bottom style="medium">
        <color indexed="8"/>
      </bottom>
    </border>
    <border>
      <left/>
      <right style="thin">
        <color indexed="8"/>
      </right>
      <top style="thin">
        <color indexed="8"/>
      </top>
      <bottom style="medium">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bottom/>
    </border>
    <border>
      <left style="thin">
        <color indexed="8"/>
      </left>
      <right/>
      <top style="thin">
        <color indexed="8"/>
      </top>
      <bottom/>
    </border>
    <border>
      <left/>
      <right style="thin">
        <color indexed="8"/>
      </right>
      <top style="thin">
        <color indexed="8"/>
      </top>
      <bottom/>
    </border>
    <border>
      <left/>
      <right style="thin">
        <color indexed="8"/>
      </right>
      <top/>
      <bottom/>
    </border>
    <border>
      <left style="thin">
        <color indexed="8"/>
      </left>
      <right style="thin">
        <color indexed="8"/>
      </right>
      <top/>
      <bottom style="thin">
        <color indexed="8"/>
      </bottom>
    </border>
    <border>
      <left style="thin">
        <color indexed="8"/>
      </left>
      <right/>
      <top/>
      <bottom style="thin">
        <color indexed="8"/>
      </bottom>
    </border>
    <border>
      <left/>
      <right style="thin">
        <color indexed="8"/>
      </right>
      <top/>
      <bottom style="thin">
        <color indexed="8"/>
      </bottom>
    </border>
    <border>
      <left style="thin">
        <color indexed="8"/>
      </left>
      <right style="thin">
        <color indexed="8"/>
      </right>
      <top/>
      <bottom style="medium">
        <color indexed="8"/>
      </bottom>
    </border>
    <border>
      <left style="thin">
        <color indexed="8"/>
      </left>
      <right/>
      <top/>
      <bottom style="medium">
        <color indexed="8"/>
      </bottom>
    </border>
    <border>
      <left/>
      <right/>
      <top/>
      <bottom style="medium">
        <color indexed="8"/>
      </bottom>
    </border>
    <border>
      <left/>
      <right style="thin">
        <color indexed="8"/>
      </right>
      <top/>
      <bottom style="medium">
        <color indexed="8"/>
      </bottom>
    </border>
    <border>
      <left style="thin"/>
      <right style="thin"/>
      <top style="thin"/>
      <bottom style="medium"/>
    </border>
    <border>
      <left style="thin">
        <color indexed="8"/>
      </left>
      <right/>
      <top style="thin">
        <color indexed="8"/>
      </top>
      <bottom style="medium">
        <color indexed="8"/>
      </bottom>
    </border>
    <border>
      <left style="thin">
        <color indexed="8"/>
      </left>
      <right style="thin">
        <color indexed="8"/>
      </right>
      <top style="thin"/>
      <bottom style="medium"/>
    </border>
    <border>
      <left/>
      <right style="thin">
        <color indexed="8"/>
      </right>
      <top/>
      <bottom style="medium"/>
    </border>
    <border>
      <left style="thin"/>
      <right style="thin">
        <color indexed="8"/>
      </right>
      <top style="thin">
        <color indexed="8"/>
      </top>
      <bottom style="medium">
        <color indexed="8"/>
      </bottom>
    </border>
    <border>
      <left style="thin">
        <color indexed="8"/>
      </left>
      <right style="thin">
        <color indexed="8"/>
      </right>
      <top style="thin">
        <color indexed="8"/>
      </top>
      <bottom style="medium"/>
    </border>
    <border>
      <left style="thin">
        <color indexed="8"/>
      </left>
      <right/>
      <top/>
      <bottom/>
    </border>
    <border>
      <left style="thin"/>
      <right/>
      <top style="thin"/>
      <bottom style="thin"/>
    </border>
    <border>
      <left/>
      <right style="thin"/>
      <top style="thin"/>
      <bottom style="thin"/>
    </border>
    <border>
      <left/>
      <right/>
      <top style="thin">
        <color indexed="8"/>
      </top>
      <bottom style="medium"/>
    </border>
    <border>
      <left style="thin">
        <color indexed="8"/>
      </left>
      <right style="thin">
        <color indexed="8"/>
      </right>
      <top/>
      <bottom style="medium"/>
    </border>
    <border>
      <left style="thin">
        <color indexed="8"/>
      </left>
      <right/>
      <top/>
      <bottom style="medium"/>
    </border>
    <border>
      <left/>
      <right/>
      <top/>
      <bottom style="medium"/>
    </border>
    <border>
      <left style="thin"/>
      <right/>
      <top/>
      <bottom/>
    </border>
    <border>
      <left style="thin"/>
      <right style="thin">
        <color indexed="8"/>
      </right>
      <top style="thin">
        <color indexed="8"/>
      </top>
      <bottom style="medium"/>
    </border>
  </borders>
  <cellStyleXfs count="70">
    <xf numFmtId="164"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51" fillId="10"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11" borderId="0" applyNumberFormat="0" applyBorder="0" applyAlignment="0" applyProtection="0"/>
    <xf numFmtId="0" fontId="51" fillId="10" borderId="0" applyNumberFormat="0" applyBorder="0" applyAlignment="0" applyProtection="0"/>
    <xf numFmtId="0" fontId="51" fillId="3" borderId="0" applyNumberFormat="0" applyBorder="0" applyAlignment="0" applyProtection="0"/>
    <xf numFmtId="0" fontId="51" fillId="10"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0" borderId="0" applyNumberFormat="0" applyBorder="0" applyAlignment="0" applyProtection="0"/>
    <xf numFmtId="0" fontId="51" fillId="15" borderId="0" applyNumberFormat="0" applyBorder="0" applyAlignment="0" applyProtection="0"/>
    <xf numFmtId="0" fontId="88" fillId="16" borderId="0" applyNumberFormat="0" applyBorder="0" applyAlignment="0" applyProtection="0"/>
    <xf numFmtId="0" fontId="54" fillId="17" borderId="1" applyNumberFormat="0" applyAlignment="0" applyProtection="0"/>
    <xf numFmtId="0" fontId="92" fillId="1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4" fillId="0" borderId="0" applyNumberFormat="0" applyFill="0" applyBorder="0" applyAlignment="0" applyProtection="0"/>
    <xf numFmtId="0" fontId="87" fillId="1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90" fillId="3" borderId="1" applyNumberFormat="0" applyAlignment="0" applyProtection="0"/>
    <xf numFmtId="0" fontId="91" fillId="0" borderId="6" applyNumberFormat="0" applyFill="0" applyAlignment="0" applyProtection="0"/>
    <xf numFmtId="0" fontId="89" fillId="8" borderId="0" applyNumberFormat="0" applyBorder="0" applyAlignment="0" applyProtection="0"/>
    <xf numFmtId="164" fontId="43" fillId="0" borderId="0">
      <alignment/>
      <protection/>
    </xf>
    <xf numFmtId="164" fontId="0" fillId="0" borderId="0">
      <alignment/>
      <protection/>
    </xf>
    <xf numFmtId="164" fontId="0" fillId="0" borderId="0">
      <alignment/>
      <protection/>
    </xf>
    <xf numFmtId="164" fontId="0" fillId="0" borderId="0">
      <alignment/>
      <protection/>
    </xf>
    <xf numFmtId="164" fontId="43" fillId="0" borderId="0">
      <alignment/>
      <protection/>
    </xf>
    <xf numFmtId="164" fontId="43" fillId="0" borderId="0">
      <alignment/>
      <protection/>
    </xf>
    <xf numFmtId="164" fontId="43" fillId="0" borderId="0">
      <alignment/>
      <protection/>
    </xf>
    <xf numFmtId="164" fontId="0" fillId="0" borderId="0">
      <alignment/>
      <protection/>
    </xf>
    <xf numFmtId="164" fontId="0" fillId="0" borderId="0">
      <alignment/>
      <protection/>
    </xf>
    <xf numFmtId="0" fontId="0" fillId="4" borderId="7" applyNumberFormat="0" applyFont="0" applyAlignment="0" applyProtection="0"/>
    <xf numFmtId="0" fontId="77" fillId="1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95" fillId="0" borderId="9" applyNumberFormat="0" applyFill="0" applyAlignment="0" applyProtection="0"/>
    <xf numFmtId="0" fontId="93" fillId="0" borderId="0" applyNumberFormat="0" applyFill="0" applyBorder="0" applyAlignment="0" applyProtection="0"/>
  </cellStyleXfs>
  <cellXfs count="584">
    <xf numFmtId="164" fontId="0" fillId="0" borderId="0" xfId="0" applyAlignment="1">
      <alignment/>
    </xf>
    <xf numFmtId="164" fontId="0" fillId="20" borderId="0" xfId="0" applyFill="1" applyAlignment="1">
      <alignment/>
    </xf>
    <xf numFmtId="164" fontId="0" fillId="0" borderId="0" xfId="0" applyAlignment="1">
      <alignment vertical="center"/>
    </xf>
    <xf numFmtId="164" fontId="0" fillId="0" borderId="0" xfId="0" applyAlignment="1">
      <alignment/>
    </xf>
    <xf numFmtId="164" fontId="0" fillId="20" borderId="0" xfId="0" applyFill="1" applyAlignment="1">
      <alignment vertical="center"/>
    </xf>
    <xf numFmtId="165" fontId="3" fillId="20" borderId="10" xfId="0" applyNumberFormat="1" applyFont="1" applyFill="1" applyBorder="1" applyAlignment="1">
      <alignment vertical="center"/>
    </xf>
    <xf numFmtId="165" fontId="4" fillId="0" borderId="11" xfId="0" applyNumberFormat="1" applyFont="1" applyFill="1" applyBorder="1" applyAlignment="1">
      <alignment vertical="center"/>
    </xf>
    <xf numFmtId="164" fontId="6" fillId="0" borderId="0" xfId="0" applyFont="1" applyFill="1" applyBorder="1" applyAlignment="1">
      <alignment horizontal="left" vertical="center"/>
    </xf>
    <xf numFmtId="165" fontId="4" fillId="20" borderId="10" xfId="0" applyNumberFormat="1" applyFont="1" applyFill="1" applyBorder="1" applyAlignment="1">
      <alignment vertical="center"/>
    </xf>
    <xf numFmtId="165" fontId="4" fillId="0" borderId="12" xfId="0" applyNumberFormat="1" applyFont="1" applyFill="1" applyBorder="1" applyAlignment="1">
      <alignment vertical="center"/>
    </xf>
    <xf numFmtId="164" fontId="8" fillId="0" borderId="0" xfId="0" applyFont="1" applyFill="1" applyBorder="1" applyAlignment="1">
      <alignment horizontal="center" vertical="center"/>
    </xf>
    <xf numFmtId="164" fontId="9" fillId="0" borderId="0" xfId="0" applyFont="1" applyFill="1" applyBorder="1" applyAlignment="1">
      <alignment horizontal="center" vertical="center"/>
    </xf>
    <xf numFmtId="164" fontId="6" fillId="0" borderId="0" xfId="0" applyFont="1" applyFill="1" applyBorder="1" applyAlignment="1">
      <alignment horizontal="right" vertical="center"/>
    </xf>
    <xf numFmtId="164" fontId="8" fillId="0" borderId="0" xfId="0" applyFont="1" applyFill="1" applyBorder="1" applyAlignment="1">
      <alignment horizontal="center"/>
    </xf>
    <xf numFmtId="164" fontId="11" fillId="0" borderId="0" xfId="0" applyFont="1" applyFill="1" applyBorder="1" applyAlignment="1">
      <alignment horizontal="center"/>
    </xf>
    <xf numFmtId="164" fontId="0" fillId="20" borderId="0" xfId="0" applyFill="1" applyBorder="1" applyAlignment="1">
      <alignment vertical="center"/>
    </xf>
    <xf numFmtId="165" fontId="14" fillId="20" borderId="13" xfId="0" applyNumberFormat="1" applyFont="1" applyFill="1" applyBorder="1" applyAlignment="1" applyProtection="1">
      <alignment/>
      <protection/>
    </xf>
    <xf numFmtId="165" fontId="3" fillId="20" borderId="13" xfId="0" applyNumberFormat="1" applyFont="1" applyFill="1" applyBorder="1" applyAlignment="1" applyProtection="1">
      <alignment vertical="center"/>
      <protection/>
    </xf>
    <xf numFmtId="165" fontId="4" fillId="20" borderId="14" xfId="0" applyNumberFormat="1" applyFont="1" applyFill="1" applyBorder="1" applyAlignment="1" applyProtection="1">
      <alignment/>
      <protection/>
    </xf>
    <xf numFmtId="165" fontId="4" fillId="20" borderId="13" xfId="0" applyNumberFormat="1" applyFont="1" applyFill="1" applyBorder="1" applyAlignment="1" applyProtection="1">
      <alignment/>
      <protection/>
    </xf>
    <xf numFmtId="165" fontId="4" fillId="20" borderId="15" xfId="0" applyNumberFormat="1" applyFont="1" applyFill="1" applyBorder="1" applyAlignment="1" applyProtection="1">
      <alignment/>
      <protection/>
    </xf>
    <xf numFmtId="165" fontId="14" fillId="0" borderId="16" xfId="0" applyNumberFormat="1" applyFont="1" applyFill="1" applyBorder="1" applyAlignment="1" applyProtection="1">
      <alignment/>
      <protection/>
    </xf>
    <xf numFmtId="165" fontId="4" fillId="20" borderId="16" xfId="0" applyNumberFormat="1" applyFont="1" applyFill="1" applyBorder="1" applyAlignment="1" applyProtection="1">
      <alignment/>
      <protection/>
    </xf>
    <xf numFmtId="165" fontId="4" fillId="0" borderId="17" xfId="0" applyNumberFormat="1" applyFont="1" applyFill="1" applyBorder="1" applyAlignment="1" applyProtection="1">
      <alignment/>
      <protection/>
    </xf>
    <xf numFmtId="165" fontId="4" fillId="0" borderId="18" xfId="0" applyNumberFormat="1" applyFont="1" applyFill="1" applyBorder="1" applyAlignment="1" applyProtection="1">
      <alignment/>
      <protection/>
    </xf>
    <xf numFmtId="165" fontId="4" fillId="0" borderId="19" xfId="0" applyNumberFormat="1" applyFont="1" applyFill="1" applyBorder="1" applyAlignment="1" applyProtection="1">
      <alignment/>
      <protection/>
    </xf>
    <xf numFmtId="165" fontId="4" fillId="20" borderId="20" xfId="0" applyNumberFormat="1" applyFont="1" applyFill="1" applyBorder="1" applyAlignment="1" applyProtection="1">
      <alignment/>
      <protection/>
    </xf>
    <xf numFmtId="165" fontId="4" fillId="0" borderId="21" xfId="0" applyNumberFormat="1" applyFont="1" applyFill="1" applyBorder="1" applyAlignment="1" applyProtection="1">
      <alignment/>
      <protection/>
    </xf>
    <xf numFmtId="165" fontId="4" fillId="0" borderId="22" xfId="0" applyNumberFormat="1" applyFont="1" applyFill="1" applyBorder="1" applyAlignment="1" applyProtection="1">
      <alignment/>
      <protection/>
    </xf>
    <xf numFmtId="166" fontId="4" fillId="0" borderId="10" xfId="0" applyNumberFormat="1" applyFont="1" applyFill="1" applyBorder="1" applyAlignment="1" applyProtection="1">
      <alignment vertical="center"/>
      <protection/>
    </xf>
    <xf numFmtId="165" fontId="14" fillId="0" borderId="23" xfId="0" applyNumberFormat="1" applyFont="1" applyFill="1" applyBorder="1" applyAlignment="1" applyProtection="1">
      <alignment vertical="center"/>
      <protection/>
    </xf>
    <xf numFmtId="165" fontId="4" fillId="21" borderId="24" xfId="0" applyNumberFormat="1" applyFont="1" applyFill="1" applyBorder="1" applyAlignment="1" applyProtection="1">
      <alignment vertical="center"/>
      <protection/>
    </xf>
    <xf numFmtId="165" fontId="4" fillId="21" borderId="25" xfId="0" applyNumberFormat="1" applyFont="1" applyFill="1" applyBorder="1" applyAlignment="1" applyProtection="1">
      <alignment vertical="center"/>
      <protection/>
    </xf>
    <xf numFmtId="165" fontId="4" fillId="0" borderId="24" xfId="0" applyNumberFormat="1" applyFont="1" applyFill="1" applyBorder="1" applyAlignment="1" applyProtection="1">
      <alignment horizontal="center" vertical="center"/>
      <protection/>
    </xf>
    <xf numFmtId="165" fontId="4" fillId="0" borderId="25" xfId="0" applyNumberFormat="1" applyFont="1" applyFill="1" applyBorder="1" applyAlignment="1" applyProtection="1">
      <alignment horizontal="center" vertical="center"/>
      <protection/>
    </xf>
    <xf numFmtId="165" fontId="4" fillId="0" borderId="26" xfId="0" applyNumberFormat="1" applyFont="1" applyFill="1" applyBorder="1" applyAlignment="1" applyProtection="1">
      <alignment horizontal="center" vertical="center"/>
      <protection/>
    </xf>
    <xf numFmtId="165" fontId="4" fillId="20" borderId="23" xfId="0" applyNumberFormat="1" applyFont="1" applyFill="1" applyBorder="1" applyAlignment="1" applyProtection="1">
      <alignment vertical="center"/>
      <protection/>
    </xf>
    <xf numFmtId="165" fontId="4" fillId="0" borderId="24" xfId="0" applyNumberFormat="1" applyFont="1" applyFill="1" applyBorder="1" applyAlignment="1" applyProtection="1">
      <alignment vertical="center"/>
      <protection/>
    </xf>
    <xf numFmtId="165" fontId="4" fillId="0" borderId="25" xfId="0" applyNumberFormat="1" applyFont="1" applyFill="1" applyBorder="1" applyAlignment="1" applyProtection="1">
      <alignment vertical="center"/>
      <protection/>
    </xf>
    <xf numFmtId="165" fontId="4" fillId="0" borderId="26" xfId="0" applyNumberFormat="1" applyFont="1" applyFill="1" applyBorder="1" applyAlignment="1" applyProtection="1">
      <alignment vertical="center"/>
      <protection/>
    </xf>
    <xf numFmtId="164" fontId="0" fillId="0" borderId="0" xfId="0" applyBorder="1" applyAlignment="1">
      <alignment vertical="center"/>
    </xf>
    <xf numFmtId="164" fontId="6" fillId="0" borderId="0" xfId="0" applyFont="1" applyFill="1" applyBorder="1" applyAlignment="1">
      <alignment horizontal="center"/>
    </xf>
    <xf numFmtId="164" fontId="11" fillId="0" borderId="0" xfId="0" applyFont="1" applyFill="1" applyBorder="1" applyAlignment="1">
      <alignment horizontal="center" vertical="center"/>
    </xf>
    <xf numFmtId="165" fontId="3" fillId="22" borderId="10" xfId="0" applyNumberFormat="1" applyFont="1" applyFill="1" applyBorder="1" applyAlignment="1">
      <alignment vertical="center"/>
    </xf>
    <xf numFmtId="165" fontId="4" fillId="23" borderId="11" xfId="0" applyNumberFormat="1" applyFont="1" applyFill="1" applyBorder="1" applyAlignment="1">
      <alignment vertical="center"/>
    </xf>
    <xf numFmtId="165" fontId="4" fillId="0" borderId="11" xfId="0" applyNumberFormat="1" applyFont="1" applyFill="1" applyBorder="1" applyAlignment="1">
      <alignment/>
    </xf>
    <xf numFmtId="165" fontId="3" fillId="0" borderId="11" xfId="0" applyNumberFormat="1" applyFont="1" applyFill="1" applyBorder="1" applyAlignment="1">
      <alignment vertical="center"/>
    </xf>
    <xf numFmtId="167" fontId="4" fillId="0" borderId="11" xfId="0" applyNumberFormat="1" applyFont="1" applyFill="1" applyBorder="1" applyAlignment="1">
      <alignment vertical="center"/>
    </xf>
    <xf numFmtId="166" fontId="4" fillId="0" borderId="10" xfId="0" applyNumberFormat="1" applyFont="1" applyFill="1" applyBorder="1" applyAlignment="1">
      <alignment vertical="center"/>
    </xf>
    <xf numFmtId="167" fontId="4" fillId="0" borderId="12" xfId="0" applyNumberFormat="1" applyFont="1" applyFill="1" applyBorder="1" applyAlignment="1">
      <alignment vertical="center"/>
    </xf>
    <xf numFmtId="164" fontId="9" fillId="0" borderId="0" xfId="0" applyFont="1" applyFill="1" applyBorder="1" applyAlignment="1">
      <alignment horizontal="center"/>
    </xf>
    <xf numFmtId="165" fontId="3" fillId="22" borderId="13" xfId="0" applyNumberFormat="1" applyFont="1" applyFill="1" applyBorder="1" applyAlignment="1" applyProtection="1">
      <alignment vertical="center"/>
      <protection/>
    </xf>
    <xf numFmtId="165" fontId="4" fillId="22" borderId="15" xfId="0" applyNumberFormat="1" applyFont="1" applyFill="1" applyBorder="1" applyAlignment="1" applyProtection="1">
      <alignment vertical="center"/>
      <protection/>
    </xf>
    <xf numFmtId="165" fontId="4" fillId="22" borderId="14" xfId="0" applyNumberFormat="1" applyFont="1" applyFill="1" applyBorder="1" applyAlignment="1" applyProtection="1">
      <alignment vertical="center"/>
      <protection/>
    </xf>
    <xf numFmtId="165" fontId="14" fillId="20" borderId="13" xfId="0" applyNumberFormat="1" applyFont="1" applyFill="1" applyBorder="1" applyAlignment="1" applyProtection="1">
      <alignment vertical="center"/>
      <protection/>
    </xf>
    <xf numFmtId="165" fontId="4" fillId="20" borderId="13" xfId="0" applyNumberFormat="1" applyFont="1" applyFill="1" applyBorder="1" applyAlignment="1" applyProtection="1">
      <alignment vertical="center"/>
      <protection/>
    </xf>
    <xf numFmtId="165" fontId="4" fillId="20" borderId="15" xfId="0" applyNumberFormat="1" applyFont="1" applyFill="1" applyBorder="1" applyAlignment="1" applyProtection="1">
      <alignment vertical="center"/>
      <protection/>
    </xf>
    <xf numFmtId="165" fontId="4" fillId="20" borderId="14" xfId="0" applyNumberFormat="1" applyFont="1" applyFill="1" applyBorder="1" applyAlignment="1" applyProtection="1">
      <alignment vertical="center"/>
      <protection/>
    </xf>
    <xf numFmtId="165" fontId="3" fillId="20" borderId="15" xfId="0" applyNumberFormat="1" applyFont="1" applyFill="1" applyBorder="1" applyAlignment="1" applyProtection="1">
      <alignment vertical="center"/>
      <protection/>
    </xf>
    <xf numFmtId="165" fontId="3" fillId="20" borderId="14" xfId="0" applyNumberFormat="1" applyFont="1" applyFill="1" applyBorder="1" applyAlignment="1" applyProtection="1">
      <alignment vertical="center"/>
      <protection/>
    </xf>
    <xf numFmtId="165" fontId="4" fillId="23" borderId="17" xfId="0" applyNumberFormat="1" applyFont="1" applyFill="1" applyBorder="1" applyAlignment="1" applyProtection="1">
      <alignment vertical="center"/>
      <protection/>
    </xf>
    <xf numFmtId="165" fontId="4" fillId="23" borderId="18" xfId="0" applyNumberFormat="1" applyFont="1" applyFill="1" applyBorder="1" applyAlignment="1" applyProtection="1">
      <alignment vertical="center"/>
      <protection/>
    </xf>
    <xf numFmtId="165" fontId="14" fillId="0" borderId="10" xfId="0" applyNumberFormat="1" applyFont="1" applyFill="1" applyBorder="1" applyAlignment="1">
      <alignment vertical="center"/>
    </xf>
    <xf numFmtId="165" fontId="4" fillId="0" borderId="24" xfId="0" applyNumberFormat="1" applyFont="1" applyFill="1" applyBorder="1" applyAlignment="1" applyProtection="1">
      <alignment/>
      <protection/>
    </xf>
    <xf numFmtId="165" fontId="4" fillId="0" borderId="25" xfId="0" applyNumberFormat="1" applyFont="1" applyFill="1" applyBorder="1" applyAlignment="1" applyProtection="1">
      <alignment/>
      <protection/>
    </xf>
    <xf numFmtId="165" fontId="4" fillId="0" borderId="26" xfId="0" applyNumberFormat="1" applyFont="1" applyFill="1" applyBorder="1" applyAlignment="1" applyProtection="1">
      <alignment/>
      <protection/>
    </xf>
    <xf numFmtId="165" fontId="14" fillId="0" borderId="23" xfId="0" applyNumberFormat="1" applyFont="1" applyFill="1" applyBorder="1" applyAlignment="1" applyProtection="1">
      <alignment/>
      <protection/>
    </xf>
    <xf numFmtId="164" fontId="21" fillId="0" borderId="0" xfId="0" applyFont="1" applyFill="1" applyBorder="1" applyAlignment="1">
      <alignment horizontal="center" vertical="center"/>
    </xf>
    <xf numFmtId="166" fontId="4" fillId="20" borderId="13" xfId="0" applyNumberFormat="1" applyFont="1" applyFill="1" applyBorder="1" applyAlignment="1" applyProtection="1">
      <alignment vertical="center"/>
      <protection/>
    </xf>
    <xf numFmtId="165" fontId="21" fillId="20" borderId="13" xfId="0" applyNumberFormat="1" applyFont="1" applyFill="1" applyBorder="1" applyAlignment="1" applyProtection="1">
      <alignment vertical="center"/>
      <protection/>
    </xf>
    <xf numFmtId="166" fontId="4" fillId="0" borderId="16" xfId="0" applyNumberFormat="1" applyFont="1" applyFill="1" applyBorder="1" applyAlignment="1" applyProtection="1">
      <alignment vertical="center"/>
      <protection/>
    </xf>
    <xf numFmtId="166" fontId="4" fillId="20" borderId="16" xfId="0" applyNumberFormat="1" applyFont="1" applyFill="1" applyBorder="1" applyAlignment="1" applyProtection="1">
      <alignment vertical="center"/>
      <protection/>
    </xf>
    <xf numFmtId="166" fontId="4" fillId="0" borderId="17" xfId="0" applyNumberFormat="1" applyFont="1" applyFill="1" applyBorder="1" applyAlignment="1" applyProtection="1">
      <alignment vertical="center"/>
      <protection/>
    </xf>
    <xf numFmtId="166" fontId="4" fillId="0" borderId="18" xfId="0" applyNumberFormat="1" applyFont="1" applyFill="1" applyBorder="1" applyAlignment="1" applyProtection="1">
      <alignment vertical="center"/>
      <protection/>
    </xf>
    <xf numFmtId="165" fontId="14" fillId="0" borderId="16" xfId="0" applyNumberFormat="1" applyFont="1" applyFill="1" applyBorder="1" applyAlignment="1" applyProtection="1">
      <alignment vertical="center"/>
      <protection/>
    </xf>
    <xf numFmtId="165" fontId="3" fillId="0" borderId="16" xfId="0" applyNumberFormat="1" applyFont="1" applyFill="1" applyBorder="1" applyAlignment="1" applyProtection="1">
      <alignment vertical="center"/>
      <protection/>
    </xf>
    <xf numFmtId="165" fontId="21" fillId="0" borderId="16" xfId="0" applyNumberFormat="1" applyFont="1" applyFill="1" applyBorder="1" applyAlignment="1" applyProtection="1">
      <alignment vertical="center"/>
      <protection/>
    </xf>
    <xf numFmtId="165" fontId="14" fillId="20" borderId="10" xfId="0" applyNumberFormat="1" applyFont="1" applyFill="1" applyBorder="1" applyAlignment="1">
      <alignment vertical="center"/>
    </xf>
    <xf numFmtId="165" fontId="14" fillId="0" borderId="11" xfId="0" applyNumberFormat="1" applyFont="1" applyFill="1" applyBorder="1" applyAlignment="1">
      <alignment vertical="center"/>
    </xf>
    <xf numFmtId="165" fontId="14" fillId="0" borderId="12" xfId="0" applyNumberFormat="1" applyFont="1" applyFill="1" applyBorder="1" applyAlignment="1">
      <alignment vertical="center"/>
    </xf>
    <xf numFmtId="166" fontId="4" fillId="20" borderId="10" xfId="0" applyNumberFormat="1" applyFont="1" applyFill="1" applyBorder="1" applyAlignment="1">
      <alignment vertical="center"/>
    </xf>
    <xf numFmtId="165" fontId="14" fillId="20" borderId="15" xfId="0" applyNumberFormat="1" applyFont="1" applyFill="1" applyBorder="1" applyAlignment="1" applyProtection="1">
      <alignment vertical="center"/>
      <protection/>
    </xf>
    <xf numFmtId="165" fontId="14" fillId="20" borderId="14" xfId="0" applyNumberFormat="1" applyFont="1" applyFill="1" applyBorder="1" applyAlignment="1" applyProtection="1">
      <alignment vertical="center"/>
      <protection/>
    </xf>
    <xf numFmtId="165" fontId="14" fillId="20" borderId="16" xfId="0" applyNumberFormat="1" applyFont="1" applyFill="1" applyBorder="1" applyAlignment="1" applyProtection="1">
      <alignment/>
      <protection/>
    </xf>
    <xf numFmtId="165" fontId="14" fillId="0" borderId="17" xfId="0" applyNumberFormat="1" applyFont="1" applyFill="1" applyBorder="1" applyAlignment="1" applyProtection="1">
      <alignment/>
      <protection/>
    </xf>
    <xf numFmtId="165" fontId="14" fillId="0" borderId="18" xfId="0" applyNumberFormat="1" applyFont="1" applyFill="1" applyBorder="1" applyAlignment="1" applyProtection="1">
      <alignment/>
      <protection/>
    </xf>
    <xf numFmtId="165" fontId="14" fillId="0" borderId="19" xfId="0" applyNumberFormat="1" applyFont="1" applyFill="1" applyBorder="1" applyAlignment="1" applyProtection="1">
      <alignment/>
      <protection/>
    </xf>
    <xf numFmtId="167" fontId="4" fillId="0" borderId="17" xfId="0" applyNumberFormat="1" applyFont="1" applyFill="1" applyBorder="1" applyAlignment="1" applyProtection="1">
      <alignment vertical="center"/>
      <protection/>
    </xf>
    <xf numFmtId="167" fontId="4" fillId="0" borderId="18" xfId="0" applyNumberFormat="1" applyFont="1" applyFill="1" applyBorder="1" applyAlignment="1" applyProtection="1">
      <alignment vertical="center"/>
      <protection/>
    </xf>
    <xf numFmtId="165" fontId="14" fillId="20" borderId="20" xfId="0" applyNumberFormat="1" applyFont="1" applyFill="1" applyBorder="1" applyAlignment="1" applyProtection="1">
      <alignment/>
      <protection/>
    </xf>
    <xf numFmtId="165" fontId="14" fillId="0" borderId="21" xfId="0" applyNumberFormat="1" applyFont="1" applyFill="1" applyBorder="1" applyAlignment="1" applyProtection="1">
      <alignment/>
      <protection/>
    </xf>
    <xf numFmtId="165" fontId="14" fillId="0" borderId="22" xfId="0" applyNumberFormat="1" applyFont="1" applyFill="1" applyBorder="1" applyAlignment="1" applyProtection="1">
      <alignment/>
      <protection/>
    </xf>
    <xf numFmtId="164" fontId="6" fillId="0" borderId="0" xfId="0" applyFont="1" applyAlignment="1">
      <alignment horizontal="center"/>
    </xf>
    <xf numFmtId="165" fontId="14" fillId="20" borderId="15" xfId="0" applyNumberFormat="1" applyFont="1" applyFill="1" applyBorder="1" applyAlignment="1" applyProtection="1">
      <alignment/>
      <protection/>
    </xf>
    <xf numFmtId="165" fontId="14" fillId="20" borderId="14" xfId="0" applyNumberFormat="1" applyFont="1" applyFill="1" applyBorder="1" applyAlignment="1" applyProtection="1">
      <alignment/>
      <protection/>
    </xf>
    <xf numFmtId="165" fontId="14" fillId="20" borderId="23" xfId="0" applyNumberFormat="1" applyFont="1" applyFill="1" applyBorder="1" applyAlignment="1" applyProtection="1">
      <alignment vertical="center"/>
      <protection/>
    </xf>
    <xf numFmtId="165" fontId="14" fillId="0" borderId="24" xfId="0" applyNumberFormat="1" applyFont="1" applyFill="1" applyBorder="1" applyAlignment="1" applyProtection="1">
      <alignment vertical="center"/>
      <protection/>
    </xf>
    <xf numFmtId="165" fontId="14" fillId="0" borderId="25" xfId="0" applyNumberFormat="1" applyFont="1" applyFill="1" applyBorder="1" applyAlignment="1" applyProtection="1">
      <alignment vertical="center"/>
      <protection/>
    </xf>
    <xf numFmtId="165" fontId="14" fillId="0" borderId="26" xfId="0" applyNumberFormat="1" applyFont="1" applyFill="1" applyBorder="1" applyAlignment="1" applyProtection="1">
      <alignment vertical="center"/>
      <protection/>
    </xf>
    <xf numFmtId="165" fontId="3" fillId="20" borderId="23" xfId="0" applyNumberFormat="1" applyFont="1" applyFill="1" applyBorder="1" applyAlignment="1" applyProtection="1">
      <alignment vertical="center"/>
      <protection/>
    </xf>
    <xf numFmtId="164" fontId="6" fillId="0" borderId="0" xfId="0" applyFont="1" applyFill="1" applyBorder="1" applyAlignment="1">
      <alignment horizontal="center" vertical="center"/>
    </xf>
    <xf numFmtId="165" fontId="4" fillId="0" borderId="22" xfId="0" applyNumberFormat="1" applyFont="1" applyFill="1" applyBorder="1" applyAlignment="1" applyProtection="1">
      <alignment vertical="center"/>
      <protection/>
    </xf>
    <xf numFmtId="164" fontId="29" fillId="20" borderId="0" xfId="0" applyFont="1" applyFill="1" applyBorder="1" applyAlignment="1">
      <alignment/>
    </xf>
    <xf numFmtId="164" fontId="0" fillId="20" borderId="0" xfId="0" applyFill="1" applyBorder="1" applyAlignment="1">
      <alignment/>
    </xf>
    <xf numFmtId="164" fontId="30" fillId="20" borderId="0" xfId="0" applyFont="1" applyFill="1" applyBorder="1" applyAlignment="1">
      <alignment horizontal="left"/>
    </xf>
    <xf numFmtId="164" fontId="30" fillId="20" borderId="0" xfId="0" applyFont="1" applyFill="1" applyBorder="1" applyAlignment="1">
      <alignment/>
    </xf>
    <xf numFmtId="164" fontId="0" fillId="24" borderId="13" xfId="0" applyFill="1" applyBorder="1" applyAlignment="1">
      <alignment/>
    </xf>
    <xf numFmtId="172" fontId="0" fillId="24" borderId="13" xfId="0" applyNumberFormat="1" applyFill="1" applyBorder="1" applyAlignment="1">
      <alignment/>
    </xf>
    <xf numFmtId="10" fontId="0" fillId="24" borderId="13" xfId="0" applyNumberFormat="1" applyFill="1" applyBorder="1" applyAlignment="1">
      <alignment/>
    </xf>
    <xf numFmtId="173" fontId="0" fillId="24" borderId="13" xfId="0" applyNumberFormat="1" applyFill="1" applyBorder="1" applyAlignment="1">
      <alignment/>
    </xf>
    <xf numFmtId="174" fontId="0" fillId="24" borderId="13" xfId="0" applyNumberFormat="1" applyFill="1" applyBorder="1" applyAlignment="1">
      <alignment/>
    </xf>
    <xf numFmtId="2" fontId="0" fillId="24" borderId="13" xfId="0" applyNumberFormat="1" applyFill="1" applyBorder="1" applyAlignment="1">
      <alignment/>
    </xf>
    <xf numFmtId="164" fontId="31" fillId="0" borderId="0" xfId="0" applyFont="1" applyAlignment="1">
      <alignment horizontal="right"/>
    </xf>
    <xf numFmtId="164" fontId="32" fillId="0" borderId="0" xfId="0" applyFont="1" applyAlignment="1">
      <alignment horizontal="center"/>
    </xf>
    <xf numFmtId="164" fontId="31" fillId="0" borderId="0" xfId="0" applyFont="1" applyAlignment="1">
      <alignment horizontal="center"/>
    </xf>
    <xf numFmtId="164" fontId="32" fillId="0" borderId="0" xfId="0" applyFont="1" applyAlignment="1">
      <alignment/>
    </xf>
    <xf numFmtId="164" fontId="36" fillId="0" borderId="0" xfId="0" applyFont="1" applyAlignment="1">
      <alignment/>
    </xf>
    <xf numFmtId="175" fontId="0" fillId="0" borderId="13" xfId="0" applyNumberFormat="1" applyBorder="1" applyAlignment="1">
      <alignment/>
    </xf>
    <xf numFmtId="174" fontId="0" fillId="0" borderId="13" xfId="0" applyNumberFormat="1" applyBorder="1" applyAlignment="1">
      <alignment/>
    </xf>
    <xf numFmtId="176" fontId="0" fillId="0" borderId="13" xfId="0" applyNumberFormat="1" applyBorder="1" applyAlignment="1">
      <alignment/>
    </xf>
    <xf numFmtId="173" fontId="0" fillId="0" borderId="13" xfId="0" applyNumberFormat="1" applyBorder="1" applyAlignment="1">
      <alignment/>
    </xf>
    <xf numFmtId="177" fontId="0" fillId="0" borderId="13" xfId="0" applyNumberFormat="1" applyBorder="1" applyAlignment="1">
      <alignment/>
    </xf>
    <xf numFmtId="164" fontId="37" fillId="20" borderId="0" xfId="0" applyFont="1" applyFill="1" applyAlignment="1">
      <alignment horizontal="center"/>
    </xf>
    <xf numFmtId="164" fontId="4" fillId="20" borderId="0" xfId="0" applyFont="1" applyFill="1" applyAlignment="1">
      <alignment horizontal="center"/>
    </xf>
    <xf numFmtId="1" fontId="0" fillId="20" borderId="0" xfId="0" applyNumberFormat="1" applyFill="1" applyAlignment="1">
      <alignment/>
    </xf>
    <xf numFmtId="164" fontId="0" fillId="20" borderId="0" xfId="0" applyFont="1" applyFill="1" applyAlignment="1">
      <alignment horizontal="right"/>
    </xf>
    <xf numFmtId="164" fontId="40" fillId="20" borderId="0" xfId="0" applyFont="1" applyFill="1" applyAlignment="1">
      <alignment horizontal="center"/>
    </xf>
    <xf numFmtId="173" fontId="0" fillId="20" borderId="0" xfId="0" applyNumberFormat="1" applyFill="1" applyAlignment="1">
      <alignment/>
    </xf>
    <xf numFmtId="164" fontId="28" fillId="0" borderId="0" xfId="0" applyFont="1" applyAlignment="1">
      <alignment horizontal="center"/>
    </xf>
    <xf numFmtId="164" fontId="2" fillId="0" borderId="0" xfId="63" applyFont="1" applyAlignment="1">
      <alignment vertical="center"/>
      <protection/>
    </xf>
    <xf numFmtId="165" fontId="4" fillId="20" borderId="10" xfId="0" applyNumberFormat="1" applyFont="1" applyFill="1" applyBorder="1" applyAlignment="1">
      <alignment/>
    </xf>
    <xf numFmtId="165" fontId="5" fillId="0" borderId="17" xfId="0" applyNumberFormat="1" applyFont="1" applyFill="1" applyBorder="1" applyAlignment="1" applyProtection="1">
      <alignment/>
      <protection/>
    </xf>
    <xf numFmtId="165" fontId="5" fillId="0" borderId="18" xfId="0" applyNumberFormat="1" applyFont="1" applyFill="1" applyBorder="1" applyAlignment="1" applyProtection="1">
      <alignment/>
      <protection/>
    </xf>
    <xf numFmtId="164" fontId="0" fillId="0" borderId="13" xfId="0" applyBorder="1" applyAlignment="1">
      <alignment/>
    </xf>
    <xf numFmtId="165" fontId="5" fillId="0" borderId="21" xfId="0" applyNumberFormat="1" applyFont="1" applyFill="1" applyBorder="1" applyAlignment="1" applyProtection="1">
      <alignment/>
      <protection/>
    </xf>
    <xf numFmtId="165" fontId="5" fillId="0" borderId="22" xfId="0" applyNumberFormat="1" applyFont="1" applyFill="1" applyBorder="1" applyAlignment="1" applyProtection="1">
      <alignment/>
      <protection/>
    </xf>
    <xf numFmtId="165" fontId="5" fillId="0" borderId="19" xfId="0" applyNumberFormat="1" applyFont="1" applyFill="1" applyBorder="1" applyAlignment="1" applyProtection="1">
      <alignment/>
      <protection/>
    </xf>
    <xf numFmtId="165" fontId="4" fillId="20" borderId="23" xfId="0" applyNumberFormat="1" applyFont="1" applyFill="1" applyBorder="1" applyAlignment="1" applyProtection="1">
      <alignment/>
      <protection/>
    </xf>
    <xf numFmtId="166" fontId="4" fillId="0" borderId="10" xfId="0" applyNumberFormat="1" applyFont="1" applyFill="1" applyBorder="1" applyAlignment="1" applyProtection="1">
      <alignment/>
      <protection/>
    </xf>
    <xf numFmtId="11" fontId="4" fillId="0" borderId="10" xfId="0" applyNumberFormat="1" applyFont="1" applyFill="1" applyBorder="1" applyAlignment="1" applyProtection="1">
      <alignment/>
      <protection/>
    </xf>
    <xf numFmtId="164" fontId="6" fillId="0" borderId="0" xfId="0" applyFont="1" applyAlignment="1">
      <alignment horizontal="right"/>
    </xf>
    <xf numFmtId="10" fontId="4" fillId="0" borderId="0" xfId="0" applyNumberFormat="1" applyFont="1" applyAlignment="1">
      <alignment horizontal="center"/>
    </xf>
    <xf numFmtId="164" fontId="6" fillId="0" borderId="0" xfId="63" applyFont="1" applyAlignment="1" applyProtection="1">
      <alignment horizontal="center" vertical="center"/>
      <protection locked="0"/>
    </xf>
    <xf numFmtId="164" fontId="0" fillId="0" borderId="0" xfId="63" applyAlignment="1">
      <alignment vertical="center"/>
      <protection/>
    </xf>
    <xf numFmtId="164" fontId="11" fillId="0" borderId="0" xfId="0" applyFont="1" applyAlignment="1" applyProtection="1">
      <alignment horizontal="center" vertical="center"/>
      <protection locked="0"/>
    </xf>
    <xf numFmtId="164" fontId="42" fillId="0" borderId="0" xfId="0" applyFont="1" applyAlignment="1">
      <alignment/>
    </xf>
    <xf numFmtId="164" fontId="0" fillId="0" borderId="0" xfId="0" applyFont="1" applyAlignment="1">
      <alignment/>
    </xf>
    <xf numFmtId="164" fontId="11" fillId="0" borderId="0" xfId="0" applyFont="1" applyAlignment="1" applyProtection="1">
      <alignment horizontal="right"/>
      <protection locked="0"/>
    </xf>
    <xf numFmtId="164" fontId="4" fillId="20" borderId="13" xfId="63" applyFont="1" applyFill="1" applyBorder="1" applyAlignment="1" applyProtection="1">
      <alignment vertical="center"/>
      <protection/>
    </xf>
    <xf numFmtId="167" fontId="4" fillId="20" borderId="13" xfId="63" applyNumberFormat="1" applyFont="1" applyFill="1" applyBorder="1" applyAlignment="1" applyProtection="1">
      <alignment vertical="center"/>
      <protection/>
    </xf>
    <xf numFmtId="165" fontId="36" fillId="0" borderId="13" xfId="63" applyNumberFormat="1" applyFont="1" applyBorder="1" applyAlignment="1" applyProtection="1">
      <alignment vertical="center"/>
      <protection/>
    </xf>
    <xf numFmtId="178" fontId="36" fillId="0" borderId="0" xfId="63" applyNumberFormat="1" applyFont="1" applyAlignment="1" applyProtection="1">
      <alignment vertical="center"/>
      <protection/>
    </xf>
    <xf numFmtId="164" fontId="36" fillId="0" borderId="0" xfId="63" applyFont="1" applyAlignment="1">
      <alignment vertical="center"/>
      <protection/>
    </xf>
    <xf numFmtId="164" fontId="6" fillId="0" borderId="0" xfId="0" applyFont="1" applyAlignment="1" applyProtection="1">
      <alignment horizontal="right" vertical="center"/>
      <protection locked="0"/>
    </xf>
    <xf numFmtId="165" fontId="4" fillId="0" borderId="16" xfId="63" applyNumberFormat="1" applyFont="1" applyFill="1" applyBorder="1" applyAlignment="1" applyProtection="1">
      <alignment vertical="center"/>
      <protection/>
    </xf>
    <xf numFmtId="167" fontId="4" fillId="0" borderId="16" xfId="63" applyNumberFormat="1" applyFont="1" applyFill="1" applyBorder="1" applyAlignment="1" applyProtection="1">
      <alignment vertical="center"/>
      <protection/>
    </xf>
    <xf numFmtId="165" fontId="36" fillId="0" borderId="16" xfId="63" applyNumberFormat="1" applyFont="1" applyBorder="1" applyAlignment="1" applyProtection="1">
      <alignment vertical="center"/>
      <protection/>
    </xf>
    <xf numFmtId="164" fontId="6" fillId="0" borderId="0" xfId="0" applyFont="1" applyAlignment="1" applyProtection="1">
      <alignment vertical="center"/>
      <protection locked="0"/>
    </xf>
    <xf numFmtId="164" fontId="0" fillId="0" borderId="0" xfId="63" applyAlignment="1">
      <alignment horizontal="right" vertical="center"/>
      <protection/>
    </xf>
    <xf numFmtId="164" fontId="23" fillId="0" borderId="0" xfId="63" applyFont="1" applyAlignment="1" applyProtection="1">
      <alignment vertical="center"/>
      <protection locked="0"/>
    </xf>
    <xf numFmtId="165" fontId="4" fillId="20" borderId="13" xfId="63" applyNumberFormat="1" applyFont="1" applyFill="1" applyBorder="1" applyAlignment="1" applyProtection="1">
      <alignment vertical="center"/>
      <protection/>
    </xf>
    <xf numFmtId="165" fontId="4" fillId="0" borderId="0" xfId="63" applyNumberFormat="1" applyFont="1" applyBorder="1" applyAlignment="1" applyProtection="1">
      <alignment vertical="center"/>
      <protection/>
    </xf>
    <xf numFmtId="164" fontId="6" fillId="0" borderId="0" xfId="63" applyFont="1" applyAlignment="1" applyProtection="1">
      <alignment vertical="center"/>
      <protection locked="0"/>
    </xf>
    <xf numFmtId="164" fontId="36" fillId="0" borderId="0" xfId="63" applyFont="1" applyAlignment="1" applyProtection="1">
      <alignment vertical="center"/>
      <protection/>
    </xf>
    <xf numFmtId="165" fontId="4" fillId="0" borderId="16" xfId="63" applyNumberFormat="1" applyFont="1" applyBorder="1" applyAlignment="1" applyProtection="1">
      <alignment vertical="center"/>
      <protection/>
    </xf>
    <xf numFmtId="164" fontId="0" fillId="0" borderId="0" xfId="0" applyAlignment="1">
      <alignment horizontal="center"/>
    </xf>
    <xf numFmtId="164" fontId="6" fillId="0" borderId="0" xfId="0" applyFont="1" applyAlignment="1">
      <alignment horizontal="center" vertical="center"/>
    </xf>
    <xf numFmtId="165" fontId="6" fillId="20" borderId="13" xfId="63" applyNumberFormat="1" applyFont="1" applyFill="1" applyBorder="1" applyAlignment="1" applyProtection="1">
      <alignment vertical="center"/>
      <protection/>
    </xf>
    <xf numFmtId="167" fontId="6" fillId="20" borderId="13" xfId="63" applyNumberFormat="1" applyFont="1" applyFill="1" applyBorder="1" applyAlignment="1" applyProtection="1">
      <alignment vertical="center"/>
      <protection/>
    </xf>
    <xf numFmtId="179" fontId="0" fillId="0" borderId="0" xfId="0" applyNumberFormat="1" applyAlignment="1">
      <alignment/>
    </xf>
    <xf numFmtId="164" fontId="6" fillId="0" borderId="0" xfId="0" applyFont="1" applyAlignment="1" applyProtection="1">
      <alignment horizontal="left" vertical="center"/>
      <protection locked="0"/>
    </xf>
    <xf numFmtId="179" fontId="0" fillId="0" borderId="0" xfId="0" applyNumberFormat="1" applyAlignment="1" applyProtection="1">
      <alignment vertical="center"/>
      <protection/>
    </xf>
    <xf numFmtId="164" fontId="23" fillId="0" borderId="0" xfId="0" applyFont="1" applyAlignment="1" applyProtection="1">
      <alignment horizontal="center" vertical="center"/>
      <protection locked="0"/>
    </xf>
    <xf numFmtId="164" fontId="6" fillId="0" borderId="0" xfId="0" applyFont="1" applyAlignment="1" applyProtection="1">
      <alignment horizontal="center" vertical="center"/>
      <protection locked="0"/>
    </xf>
    <xf numFmtId="165" fontId="4" fillId="0" borderId="0" xfId="0" applyNumberFormat="1" applyFont="1" applyAlignment="1" applyProtection="1">
      <alignment vertical="center"/>
      <protection/>
    </xf>
    <xf numFmtId="165" fontId="36" fillId="0" borderId="16" xfId="0" applyNumberFormat="1" applyFont="1" applyBorder="1" applyAlignment="1" applyProtection="1">
      <alignment vertical="center"/>
      <protection/>
    </xf>
    <xf numFmtId="164" fontId="0" fillId="0" borderId="0" xfId="63">
      <alignment/>
      <protection/>
    </xf>
    <xf numFmtId="165" fontId="14" fillId="25" borderId="13" xfId="0" applyNumberFormat="1" applyFont="1" applyFill="1" applyBorder="1" applyAlignment="1" applyProtection="1">
      <alignment vertical="center"/>
      <protection/>
    </xf>
    <xf numFmtId="164" fontId="43" fillId="0" borderId="0" xfId="55" applyAlignment="1">
      <alignment vertical="center"/>
      <protection/>
    </xf>
    <xf numFmtId="166" fontId="6" fillId="20" borderId="14" xfId="0" applyNumberFormat="1" applyFont="1" applyFill="1" applyBorder="1" applyAlignment="1" applyProtection="1">
      <alignment vertical="center"/>
      <protection/>
    </xf>
    <xf numFmtId="165" fontId="4" fillId="0" borderId="27" xfId="0" applyNumberFormat="1" applyFont="1" applyFill="1" applyBorder="1" applyAlignment="1" applyProtection="1">
      <alignment vertical="center"/>
      <protection/>
    </xf>
    <xf numFmtId="164" fontId="44" fillId="0" borderId="0" xfId="0" applyFont="1" applyFill="1" applyBorder="1" applyAlignment="1">
      <alignment horizontal="center" vertical="center"/>
    </xf>
    <xf numFmtId="167" fontId="6" fillId="20" borderId="14" xfId="0" applyNumberFormat="1" applyFont="1" applyFill="1" applyBorder="1" applyAlignment="1" applyProtection="1">
      <alignment vertical="center"/>
      <protection/>
    </xf>
    <xf numFmtId="164" fontId="7" fillId="0" borderId="0" xfId="0" applyFont="1" applyFill="1" applyBorder="1" applyAlignment="1">
      <alignment horizontal="left"/>
    </xf>
    <xf numFmtId="10" fontId="5" fillId="0" borderId="10" xfId="0" applyNumberFormat="1" applyFont="1" applyFill="1" applyBorder="1" applyAlignment="1" applyProtection="1">
      <alignment vertical="center"/>
      <protection/>
    </xf>
    <xf numFmtId="166" fontId="6" fillId="20" borderId="10" xfId="0" applyNumberFormat="1" applyFont="1" applyFill="1" applyBorder="1" applyAlignment="1" applyProtection="1">
      <alignment vertical="center"/>
      <protection/>
    </xf>
    <xf numFmtId="167" fontId="4" fillId="0" borderId="28" xfId="0" applyNumberFormat="1" applyFont="1" applyFill="1" applyBorder="1" applyAlignment="1" applyProtection="1">
      <alignment vertical="center"/>
      <protection/>
    </xf>
    <xf numFmtId="167" fontId="4" fillId="0" borderId="11" xfId="0" applyNumberFormat="1" applyFont="1" applyFill="1" applyBorder="1" applyAlignment="1" applyProtection="1">
      <alignment vertical="center"/>
      <protection/>
    </xf>
    <xf numFmtId="11" fontId="4" fillId="0" borderId="10" xfId="0" applyNumberFormat="1" applyFont="1" applyFill="1" applyBorder="1" applyAlignment="1" applyProtection="1">
      <alignment vertical="center"/>
      <protection/>
    </xf>
    <xf numFmtId="165" fontId="4" fillId="0" borderId="23" xfId="0" applyNumberFormat="1" applyFont="1" applyFill="1" applyBorder="1" applyAlignment="1" applyProtection="1">
      <alignment vertical="center"/>
      <protection/>
    </xf>
    <xf numFmtId="165" fontId="5" fillId="0" borderId="24" xfId="0" applyNumberFormat="1" applyFont="1" applyFill="1" applyBorder="1" applyAlignment="1" applyProtection="1">
      <alignment vertical="center"/>
      <protection/>
    </xf>
    <xf numFmtId="165" fontId="5" fillId="0" borderId="25" xfId="0" applyNumberFormat="1" applyFont="1" applyFill="1" applyBorder="1" applyAlignment="1" applyProtection="1">
      <alignment vertical="center"/>
      <protection/>
    </xf>
    <xf numFmtId="165" fontId="5" fillId="0" borderId="26" xfId="0" applyNumberFormat="1" applyFont="1" applyFill="1" applyBorder="1" applyAlignment="1" applyProtection="1">
      <alignment vertical="center"/>
      <protection/>
    </xf>
    <xf numFmtId="165" fontId="4" fillId="20" borderId="16" xfId="0" applyNumberFormat="1" applyFont="1" applyFill="1" applyBorder="1" applyAlignment="1" applyProtection="1">
      <alignment vertical="center"/>
      <protection/>
    </xf>
    <xf numFmtId="165" fontId="4" fillId="0" borderId="17" xfId="0" applyNumberFormat="1" applyFont="1" applyFill="1" applyBorder="1" applyAlignment="1" applyProtection="1">
      <alignment vertical="center"/>
      <protection/>
    </xf>
    <xf numFmtId="165" fontId="4" fillId="0" borderId="18" xfId="0" applyNumberFormat="1" applyFont="1" applyFill="1" applyBorder="1" applyAlignment="1" applyProtection="1">
      <alignment vertical="center"/>
      <protection/>
    </xf>
    <xf numFmtId="165" fontId="4" fillId="20" borderId="20" xfId="0" applyNumberFormat="1" applyFont="1" applyFill="1" applyBorder="1" applyAlignment="1" applyProtection="1">
      <alignment vertical="center"/>
      <protection/>
    </xf>
    <xf numFmtId="165" fontId="4" fillId="0" borderId="21" xfId="0" applyNumberFormat="1" applyFont="1" applyFill="1" applyBorder="1" applyAlignment="1" applyProtection="1">
      <alignment vertical="center"/>
      <protection/>
    </xf>
    <xf numFmtId="165" fontId="4" fillId="0" borderId="19" xfId="0" applyNumberFormat="1" applyFont="1" applyFill="1" applyBorder="1" applyAlignment="1" applyProtection="1">
      <alignment vertical="center"/>
      <protection/>
    </xf>
    <xf numFmtId="166" fontId="4" fillId="20" borderId="10" xfId="0" applyNumberFormat="1" applyFont="1" applyFill="1" applyBorder="1" applyAlignment="1" applyProtection="1">
      <alignment vertical="center"/>
      <protection/>
    </xf>
    <xf numFmtId="167" fontId="4" fillId="0" borderId="12" xfId="0" applyNumberFormat="1" applyFont="1" applyFill="1" applyBorder="1" applyAlignment="1" applyProtection="1">
      <alignment vertical="center"/>
      <protection/>
    </xf>
    <xf numFmtId="165" fontId="4" fillId="26" borderId="15" xfId="0" applyNumberFormat="1" applyFont="1" applyFill="1" applyBorder="1" applyAlignment="1" applyProtection="1">
      <alignment vertical="center"/>
      <protection/>
    </xf>
    <xf numFmtId="165" fontId="4" fillId="26" borderId="14" xfId="0" applyNumberFormat="1" applyFont="1" applyFill="1" applyBorder="1" applyAlignment="1" applyProtection="1">
      <alignment vertical="center"/>
      <protection/>
    </xf>
    <xf numFmtId="165" fontId="6" fillId="27" borderId="14" xfId="0" applyNumberFormat="1" applyFont="1" applyFill="1" applyBorder="1" applyAlignment="1" applyProtection="1">
      <alignment vertical="center"/>
      <protection/>
    </xf>
    <xf numFmtId="165" fontId="4" fillId="0" borderId="16" xfId="0" applyNumberFormat="1" applyFont="1" applyFill="1" applyBorder="1" applyAlignment="1" applyProtection="1">
      <alignment vertical="center"/>
      <protection/>
    </xf>
    <xf numFmtId="165" fontId="4" fillId="21" borderId="17" xfId="0" applyNumberFormat="1" applyFont="1" applyFill="1" applyBorder="1" applyAlignment="1" applyProtection="1">
      <alignment vertical="center"/>
      <protection/>
    </xf>
    <xf numFmtId="165" fontId="4" fillId="21" borderId="18" xfId="0" applyNumberFormat="1" applyFont="1" applyFill="1" applyBorder="1" applyAlignment="1" applyProtection="1">
      <alignment vertical="center"/>
      <protection/>
    </xf>
    <xf numFmtId="165" fontId="4" fillId="21" borderId="21" xfId="0" applyNumberFormat="1" applyFont="1" applyFill="1" applyBorder="1" applyAlignment="1" applyProtection="1">
      <alignment vertical="center"/>
      <protection/>
    </xf>
    <xf numFmtId="165" fontId="4" fillId="21" borderId="22" xfId="0" applyNumberFormat="1" applyFont="1" applyFill="1" applyBorder="1" applyAlignment="1" applyProtection="1">
      <alignment vertical="center"/>
      <protection/>
    </xf>
    <xf numFmtId="165" fontId="4" fillId="21" borderId="19" xfId="0" applyNumberFormat="1" applyFont="1" applyFill="1" applyBorder="1" applyAlignment="1" applyProtection="1">
      <alignment vertical="center"/>
      <protection/>
    </xf>
    <xf numFmtId="165" fontId="4" fillId="20" borderId="13" xfId="0" applyNumberFormat="1" applyFont="1" applyFill="1" applyBorder="1" applyAlignment="1" applyProtection="1">
      <alignment horizontal="center" vertical="center"/>
      <protection/>
    </xf>
    <xf numFmtId="165" fontId="4" fillId="20" borderId="15" xfId="0" applyNumberFormat="1" applyFont="1" applyFill="1" applyBorder="1" applyAlignment="1" applyProtection="1">
      <alignment horizontal="center" vertical="center"/>
      <protection/>
    </xf>
    <xf numFmtId="165" fontId="4" fillId="20" borderId="14" xfId="0" applyNumberFormat="1" applyFont="1" applyFill="1" applyBorder="1" applyAlignment="1" applyProtection="1">
      <alignment horizontal="center" vertical="center"/>
      <protection/>
    </xf>
    <xf numFmtId="165" fontId="6" fillId="20" borderId="14" xfId="0" applyNumberFormat="1" applyFont="1" applyFill="1" applyBorder="1" applyAlignment="1" applyProtection="1">
      <alignment horizontal="center" vertical="center"/>
      <protection/>
    </xf>
    <xf numFmtId="165" fontId="4" fillId="0" borderId="16" xfId="0" applyNumberFormat="1" applyFont="1" applyFill="1" applyBorder="1" applyAlignment="1" applyProtection="1">
      <alignment horizontal="center" vertical="center"/>
      <protection/>
    </xf>
    <xf numFmtId="165" fontId="4" fillId="20" borderId="16" xfId="0" applyNumberFormat="1" applyFont="1" applyFill="1" applyBorder="1" applyAlignment="1" applyProtection="1">
      <alignment horizontal="center" vertical="center"/>
      <protection/>
    </xf>
    <xf numFmtId="165" fontId="4" fillId="0" borderId="17" xfId="0" applyNumberFormat="1" applyFont="1" applyFill="1" applyBorder="1" applyAlignment="1" applyProtection="1">
      <alignment horizontal="center" vertical="center"/>
      <protection/>
    </xf>
    <xf numFmtId="165" fontId="4" fillId="0" borderId="18" xfId="0" applyNumberFormat="1" applyFont="1" applyFill="1" applyBorder="1" applyAlignment="1" applyProtection="1">
      <alignment horizontal="center" vertical="center"/>
      <protection/>
    </xf>
    <xf numFmtId="165" fontId="4" fillId="20" borderId="20" xfId="0" applyNumberFormat="1" applyFont="1" applyFill="1" applyBorder="1" applyAlignment="1" applyProtection="1">
      <alignment horizontal="center" vertical="center"/>
      <protection/>
    </xf>
    <xf numFmtId="165" fontId="4" fillId="0" borderId="21" xfId="0" applyNumberFormat="1" applyFont="1" applyFill="1" applyBorder="1" applyAlignment="1" applyProtection="1">
      <alignment horizontal="center" vertical="center"/>
      <protection/>
    </xf>
    <xf numFmtId="165" fontId="4" fillId="0" borderId="22" xfId="0" applyNumberFormat="1" applyFont="1" applyFill="1" applyBorder="1" applyAlignment="1" applyProtection="1">
      <alignment horizontal="center" vertical="center"/>
      <protection/>
    </xf>
    <xf numFmtId="165" fontId="4" fillId="0" borderId="19" xfId="0" applyNumberFormat="1" applyFont="1" applyFill="1" applyBorder="1" applyAlignment="1" applyProtection="1">
      <alignment horizontal="center" vertical="center"/>
      <protection/>
    </xf>
    <xf numFmtId="165" fontId="6" fillId="20" borderId="23" xfId="0" applyNumberFormat="1" applyFont="1" applyFill="1" applyBorder="1" applyAlignment="1" applyProtection="1">
      <alignment horizontal="center" vertical="center"/>
      <protection/>
    </xf>
    <xf numFmtId="165" fontId="14" fillId="19" borderId="16" xfId="0" applyNumberFormat="1" applyFont="1" applyFill="1" applyBorder="1" applyAlignment="1" applyProtection="1">
      <alignment vertical="center"/>
      <protection/>
    </xf>
    <xf numFmtId="165" fontId="4" fillId="23" borderId="21" xfId="0" applyNumberFormat="1" applyFont="1" applyFill="1" applyBorder="1" applyAlignment="1" applyProtection="1">
      <alignment vertical="center"/>
      <protection/>
    </xf>
    <xf numFmtId="165" fontId="4" fillId="23" borderId="22" xfId="0" applyNumberFormat="1" applyFont="1" applyFill="1" applyBorder="1" applyAlignment="1" applyProtection="1">
      <alignment vertical="center"/>
      <protection/>
    </xf>
    <xf numFmtId="165" fontId="4" fillId="23" borderId="19" xfId="0" applyNumberFormat="1" applyFont="1" applyFill="1" applyBorder="1" applyAlignment="1" applyProtection="1">
      <alignment vertical="center"/>
      <protection/>
    </xf>
    <xf numFmtId="165" fontId="4" fillId="23" borderId="24" xfId="0" applyNumberFormat="1" applyFont="1" applyFill="1" applyBorder="1" applyAlignment="1" applyProtection="1">
      <alignment vertical="center"/>
      <protection/>
    </xf>
    <xf numFmtId="165" fontId="4" fillId="23" borderId="25" xfId="0" applyNumberFormat="1" applyFont="1" applyFill="1" applyBorder="1" applyAlignment="1" applyProtection="1">
      <alignment vertical="center"/>
      <protection/>
    </xf>
    <xf numFmtId="165" fontId="4" fillId="23" borderId="26" xfId="0" applyNumberFormat="1" applyFont="1" applyFill="1" applyBorder="1" applyAlignment="1" applyProtection="1">
      <alignment vertical="center"/>
      <protection/>
    </xf>
    <xf numFmtId="166" fontId="5" fillId="0" borderId="10" xfId="0" applyNumberFormat="1" applyFont="1" applyFill="1" applyBorder="1" applyAlignment="1" applyProtection="1">
      <alignment vertical="center"/>
      <protection/>
    </xf>
    <xf numFmtId="166" fontId="6" fillId="21" borderId="28" xfId="0" applyNumberFormat="1" applyFont="1" applyFill="1" applyBorder="1" applyAlignment="1" applyProtection="1">
      <alignment vertical="center"/>
      <protection/>
    </xf>
    <xf numFmtId="166" fontId="6" fillId="21" borderId="11" xfId="0" applyNumberFormat="1" applyFont="1" applyFill="1" applyBorder="1" applyAlignment="1" applyProtection="1">
      <alignment vertical="center"/>
      <protection/>
    </xf>
    <xf numFmtId="164" fontId="0" fillId="0" borderId="0" xfId="0" applyFill="1" applyAlignment="1">
      <alignment vertical="center"/>
    </xf>
    <xf numFmtId="165" fontId="14" fillId="11" borderId="13" xfId="0" applyNumberFormat="1" applyFont="1" applyFill="1" applyBorder="1" applyAlignment="1" applyProtection="1">
      <alignment vertical="center"/>
      <protection/>
    </xf>
    <xf numFmtId="165" fontId="14" fillId="19" borderId="29" xfId="0" applyNumberFormat="1" applyFont="1" applyFill="1" applyBorder="1" applyAlignment="1" applyProtection="1">
      <alignment vertical="center"/>
      <protection/>
    </xf>
    <xf numFmtId="165" fontId="3" fillId="0" borderId="29" xfId="0" applyNumberFormat="1" applyFont="1" applyFill="1" applyBorder="1" applyAlignment="1" applyProtection="1">
      <alignment vertical="center"/>
      <protection/>
    </xf>
    <xf numFmtId="165" fontId="14" fillId="0" borderId="29" xfId="0" applyNumberFormat="1" applyFont="1" applyFill="1" applyBorder="1" applyAlignment="1" applyProtection="1">
      <alignment vertical="center"/>
      <protection/>
    </xf>
    <xf numFmtId="165" fontId="4" fillId="0" borderId="29" xfId="0" applyNumberFormat="1" applyFont="1" applyFill="1" applyBorder="1" applyAlignment="1" applyProtection="1">
      <alignment horizontal="center" vertical="center"/>
      <protection/>
    </xf>
    <xf numFmtId="165" fontId="6" fillId="0" borderId="30" xfId="0" applyNumberFormat="1" applyFont="1" applyFill="1" applyBorder="1" applyAlignment="1" applyProtection="1">
      <alignment/>
      <protection/>
    </xf>
    <xf numFmtId="164" fontId="14" fillId="0" borderId="0" xfId="0" applyFont="1" applyFill="1" applyBorder="1" applyAlignment="1">
      <alignment horizontal="center" vertical="center"/>
    </xf>
    <xf numFmtId="165" fontId="6" fillId="20" borderId="13" xfId="0" applyNumberFormat="1" applyFont="1" applyFill="1" applyBorder="1" applyAlignment="1" applyProtection="1">
      <alignment vertical="center"/>
      <protection/>
    </xf>
    <xf numFmtId="165" fontId="6" fillId="0" borderId="10" xfId="0" applyNumberFormat="1" applyFont="1" applyFill="1" applyBorder="1" applyAlignment="1">
      <alignment vertical="center"/>
    </xf>
    <xf numFmtId="165" fontId="6" fillId="0" borderId="12" xfId="0" applyNumberFormat="1" applyFont="1" applyFill="1" applyBorder="1" applyAlignment="1">
      <alignment vertical="center"/>
    </xf>
    <xf numFmtId="165" fontId="21" fillId="20" borderId="15" xfId="0" applyNumberFormat="1" applyFont="1" applyFill="1" applyBorder="1" applyAlignment="1" applyProtection="1">
      <alignment vertical="center"/>
      <protection/>
    </xf>
    <xf numFmtId="165" fontId="21" fillId="20" borderId="14" xfId="0" applyNumberFormat="1" applyFont="1" applyFill="1" applyBorder="1" applyAlignment="1" applyProtection="1">
      <alignment vertical="center"/>
      <protection/>
    </xf>
    <xf numFmtId="164" fontId="0" fillId="11" borderId="0" xfId="0" applyFill="1" applyAlignment="1">
      <alignment/>
    </xf>
    <xf numFmtId="165" fontId="4" fillId="27" borderId="14" xfId="0" applyNumberFormat="1" applyFont="1" applyFill="1" applyBorder="1" applyAlignment="1" applyProtection="1">
      <alignment vertical="center"/>
      <protection/>
    </xf>
    <xf numFmtId="165" fontId="3" fillId="20" borderId="16" xfId="0" applyNumberFormat="1" applyFont="1" applyFill="1" applyBorder="1" applyAlignment="1" applyProtection="1">
      <alignment vertical="center"/>
      <protection/>
    </xf>
    <xf numFmtId="165" fontId="3" fillId="20" borderId="20" xfId="0" applyNumberFormat="1" applyFont="1" applyFill="1" applyBorder="1" applyAlignment="1" applyProtection="1">
      <alignment vertical="center"/>
      <protection/>
    </xf>
    <xf numFmtId="168" fontId="4" fillId="20" borderId="0" xfId="0" applyNumberFormat="1" applyFont="1" applyFill="1" applyAlignment="1">
      <alignment horizontal="left" vertical="center"/>
    </xf>
    <xf numFmtId="169" fontId="4" fillId="20" borderId="0" xfId="0" applyNumberFormat="1" applyFont="1" applyFill="1" applyAlignment="1">
      <alignment horizontal="left" vertical="center"/>
    </xf>
    <xf numFmtId="170" fontId="4" fillId="20" borderId="0" xfId="0" applyNumberFormat="1" applyFont="1" applyFill="1" applyAlignment="1">
      <alignment horizontal="left" vertical="center"/>
    </xf>
    <xf numFmtId="164" fontId="6" fillId="20" borderId="0" xfId="0" applyFont="1" applyFill="1" applyAlignment="1">
      <alignment horizontal="right" vertical="center"/>
    </xf>
    <xf numFmtId="171" fontId="4" fillId="20" borderId="0" xfId="0" applyNumberFormat="1" applyFont="1" applyFill="1" applyAlignment="1">
      <alignment horizontal="left" vertical="center"/>
    </xf>
    <xf numFmtId="164" fontId="0" fillId="20" borderId="0" xfId="0" applyFill="1" applyAlignment="1">
      <alignment vertical="center" wrapText="1"/>
    </xf>
    <xf numFmtId="164" fontId="8" fillId="0" borderId="0" xfId="0" applyFont="1" applyFill="1" applyBorder="1" applyAlignment="1">
      <alignment horizontal="center" vertical="center" wrapText="1"/>
    </xf>
    <xf numFmtId="166" fontId="4" fillId="20" borderId="20" xfId="0" applyNumberFormat="1" applyFont="1" applyFill="1" applyBorder="1" applyAlignment="1" applyProtection="1">
      <alignment vertical="center"/>
      <protection/>
    </xf>
    <xf numFmtId="166" fontId="4" fillId="0" borderId="21" xfId="0" applyNumberFormat="1" applyFont="1" applyFill="1" applyBorder="1" applyAlignment="1" applyProtection="1">
      <alignment vertical="center"/>
      <protection/>
    </xf>
    <xf numFmtId="166" fontId="4" fillId="0" borderId="22" xfId="0" applyNumberFormat="1" applyFont="1" applyFill="1" applyBorder="1" applyAlignment="1" applyProtection="1">
      <alignment vertical="center"/>
      <protection/>
    </xf>
    <xf numFmtId="166" fontId="4" fillId="0" borderId="19" xfId="0" applyNumberFormat="1" applyFont="1" applyFill="1" applyBorder="1" applyAlignment="1" applyProtection="1">
      <alignment vertical="center"/>
      <protection/>
    </xf>
    <xf numFmtId="166" fontId="4" fillId="0" borderId="29" xfId="0" applyNumberFormat="1" applyFont="1" applyFill="1" applyBorder="1" applyAlignment="1" applyProtection="1">
      <alignment vertical="center"/>
      <protection/>
    </xf>
    <xf numFmtId="166" fontId="4" fillId="20" borderId="23" xfId="0" applyNumberFormat="1" applyFont="1" applyFill="1" applyBorder="1" applyAlignment="1" applyProtection="1">
      <alignment vertical="center"/>
      <protection/>
    </xf>
    <xf numFmtId="166" fontId="4" fillId="0" borderId="24" xfId="0" applyNumberFormat="1" applyFont="1" applyFill="1" applyBorder="1" applyAlignment="1" applyProtection="1">
      <alignment vertical="center"/>
      <protection/>
    </xf>
    <xf numFmtId="166" fontId="4" fillId="0" borderId="25" xfId="0" applyNumberFormat="1" applyFont="1" applyFill="1" applyBorder="1" applyAlignment="1" applyProtection="1">
      <alignment vertical="center"/>
      <protection/>
    </xf>
    <xf numFmtId="165" fontId="21" fillId="0" borderId="26" xfId="0" applyNumberFormat="1" applyFont="1" applyFill="1" applyBorder="1" applyAlignment="1" applyProtection="1">
      <alignment vertical="center"/>
      <protection/>
    </xf>
    <xf numFmtId="164" fontId="12" fillId="0" borderId="0" xfId="0" applyFont="1" applyFill="1" applyBorder="1" applyAlignment="1">
      <alignment horizontal="center" vertical="center"/>
    </xf>
    <xf numFmtId="164" fontId="22" fillId="0" borderId="0" xfId="0" applyFont="1" applyFill="1" applyBorder="1" applyAlignment="1">
      <alignment horizontal="center" vertical="center"/>
    </xf>
    <xf numFmtId="166" fontId="6" fillId="0" borderId="29" xfId="0" applyNumberFormat="1" applyFont="1" applyFill="1" applyBorder="1" applyAlignment="1" applyProtection="1">
      <alignment vertical="center"/>
      <protection/>
    </xf>
    <xf numFmtId="165" fontId="21" fillId="0" borderId="29" xfId="0" applyNumberFormat="1" applyFont="1" applyFill="1" applyBorder="1" applyAlignment="1" applyProtection="1">
      <alignment vertical="center"/>
      <protection/>
    </xf>
    <xf numFmtId="165" fontId="6" fillId="0" borderId="29" xfId="0" applyNumberFormat="1" applyFont="1" applyFill="1" applyBorder="1" applyAlignment="1" applyProtection="1">
      <alignment vertical="center"/>
      <protection/>
    </xf>
    <xf numFmtId="164" fontId="3" fillId="0" borderId="0" xfId="0" applyFont="1" applyFill="1" applyBorder="1" applyAlignment="1">
      <alignment horizontal="center" vertical="center"/>
    </xf>
    <xf numFmtId="165" fontId="3" fillId="0" borderId="17" xfId="0" applyNumberFormat="1" applyFont="1" applyFill="1" applyBorder="1" applyAlignment="1" applyProtection="1">
      <alignment vertical="center"/>
      <protection/>
    </xf>
    <xf numFmtId="165" fontId="3" fillId="0" borderId="18" xfId="0" applyNumberFormat="1" applyFont="1" applyFill="1" applyBorder="1" applyAlignment="1" applyProtection="1">
      <alignment vertical="center"/>
      <protection/>
    </xf>
    <xf numFmtId="165" fontId="3" fillId="0" borderId="21" xfId="0" applyNumberFormat="1" applyFont="1" applyFill="1" applyBorder="1" applyAlignment="1" applyProtection="1">
      <alignment vertical="center"/>
      <protection/>
    </xf>
    <xf numFmtId="165" fontId="3" fillId="0" borderId="22" xfId="0" applyNumberFormat="1" applyFont="1" applyFill="1" applyBorder="1" applyAlignment="1" applyProtection="1">
      <alignment vertical="center"/>
      <protection/>
    </xf>
    <xf numFmtId="165" fontId="3" fillId="0" borderId="19" xfId="0" applyNumberFormat="1" applyFont="1" applyFill="1" applyBorder="1" applyAlignment="1" applyProtection="1">
      <alignment vertical="center"/>
      <protection/>
    </xf>
    <xf numFmtId="165" fontId="3" fillId="0" borderId="24" xfId="0" applyNumberFormat="1" applyFont="1" applyFill="1" applyBorder="1" applyAlignment="1" applyProtection="1">
      <alignment vertical="center"/>
      <protection/>
    </xf>
    <xf numFmtId="165" fontId="3" fillId="0" borderId="25" xfId="0" applyNumberFormat="1" applyFont="1" applyFill="1" applyBorder="1" applyAlignment="1" applyProtection="1">
      <alignment vertical="center"/>
      <protection/>
    </xf>
    <xf numFmtId="165" fontId="3" fillId="0" borderId="26" xfId="0" applyNumberFormat="1" applyFont="1" applyFill="1" applyBorder="1" applyAlignment="1" applyProtection="1">
      <alignment vertical="center"/>
      <protection/>
    </xf>
    <xf numFmtId="166" fontId="17" fillId="0" borderId="0" xfId="0" applyNumberFormat="1" applyFont="1" applyFill="1" applyBorder="1" applyAlignment="1" applyProtection="1">
      <alignment vertical="center"/>
      <protection/>
    </xf>
    <xf numFmtId="167" fontId="17" fillId="0" borderId="0" xfId="0" applyNumberFormat="1" applyFont="1" applyFill="1" applyBorder="1" applyAlignment="1" applyProtection="1">
      <alignment vertical="center"/>
      <protection/>
    </xf>
    <xf numFmtId="165" fontId="14" fillId="20" borderId="16" xfId="0" applyNumberFormat="1" applyFont="1" applyFill="1" applyBorder="1" applyAlignment="1" applyProtection="1">
      <alignment vertical="center"/>
      <protection/>
    </xf>
    <xf numFmtId="165" fontId="14" fillId="0" borderId="17" xfId="0" applyNumberFormat="1" applyFont="1" applyFill="1" applyBorder="1" applyAlignment="1" applyProtection="1">
      <alignment vertical="center"/>
      <protection/>
    </xf>
    <xf numFmtId="165" fontId="14" fillId="0" borderId="18" xfId="0" applyNumberFormat="1" applyFont="1" applyFill="1" applyBorder="1" applyAlignment="1" applyProtection="1">
      <alignment vertical="center"/>
      <protection/>
    </xf>
    <xf numFmtId="165" fontId="14" fillId="20" borderId="20" xfId="0" applyNumberFormat="1" applyFont="1" applyFill="1" applyBorder="1" applyAlignment="1" applyProtection="1">
      <alignment vertical="center"/>
      <protection/>
    </xf>
    <xf numFmtId="165" fontId="14" fillId="0" borderId="21" xfId="0" applyNumberFormat="1" applyFont="1" applyFill="1" applyBorder="1" applyAlignment="1" applyProtection="1">
      <alignment vertical="center"/>
      <protection/>
    </xf>
    <xf numFmtId="165" fontId="14" fillId="0" borderId="22" xfId="0" applyNumberFormat="1" applyFont="1" applyFill="1" applyBorder="1" applyAlignment="1" applyProtection="1">
      <alignment vertical="center"/>
      <protection/>
    </xf>
    <xf numFmtId="165" fontId="14" fillId="0" borderId="19" xfId="0" applyNumberFormat="1" applyFont="1" applyFill="1" applyBorder="1" applyAlignment="1" applyProtection="1">
      <alignment vertical="center"/>
      <protection/>
    </xf>
    <xf numFmtId="167" fontId="4" fillId="0" borderId="21" xfId="0" applyNumberFormat="1" applyFont="1" applyFill="1" applyBorder="1" applyAlignment="1" applyProtection="1">
      <alignment vertical="center"/>
      <protection/>
    </xf>
    <xf numFmtId="167" fontId="4" fillId="0" borderId="22" xfId="0" applyNumberFormat="1" applyFont="1" applyFill="1" applyBorder="1" applyAlignment="1" applyProtection="1">
      <alignment vertical="center"/>
      <protection/>
    </xf>
    <xf numFmtId="167" fontId="4" fillId="0" borderId="19" xfId="0" applyNumberFormat="1" applyFont="1" applyFill="1" applyBorder="1" applyAlignment="1" applyProtection="1">
      <alignment vertical="center"/>
      <protection/>
    </xf>
    <xf numFmtId="167" fontId="4" fillId="0" borderId="24" xfId="0" applyNumberFormat="1" applyFont="1" applyFill="1" applyBorder="1" applyAlignment="1" applyProtection="1">
      <alignment vertical="center"/>
      <protection/>
    </xf>
    <xf numFmtId="167" fontId="4" fillId="0" borderId="25" xfId="0" applyNumberFormat="1" applyFont="1" applyFill="1" applyBorder="1" applyAlignment="1" applyProtection="1">
      <alignment vertical="center"/>
      <protection/>
    </xf>
    <xf numFmtId="164" fontId="0" fillId="11" borderId="0" xfId="0" applyFill="1" applyAlignment="1">
      <alignment vertical="center"/>
    </xf>
    <xf numFmtId="165" fontId="3" fillId="22" borderId="16" xfId="0" applyNumberFormat="1" applyFont="1" applyFill="1" applyBorder="1" applyAlignment="1" applyProtection="1">
      <alignment vertical="center"/>
      <protection/>
    </xf>
    <xf numFmtId="165" fontId="3" fillId="22" borderId="20" xfId="0" applyNumberFormat="1" applyFont="1" applyFill="1" applyBorder="1" applyAlignment="1" applyProtection="1">
      <alignment vertical="center"/>
      <protection/>
    </xf>
    <xf numFmtId="165" fontId="3" fillId="22" borderId="23" xfId="0" applyNumberFormat="1" applyFont="1" applyFill="1" applyBorder="1" applyAlignment="1" applyProtection="1">
      <alignment vertical="center"/>
      <protection/>
    </xf>
    <xf numFmtId="165" fontId="6" fillId="20" borderId="23" xfId="0" applyNumberFormat="1" applyFont="1" applyFill="1" applyBorder="1" applyAlignment="1" applyProtection="1">
      <alignment vertical="center"/>
      <protection/>
    </xf>
    <xf numFmtId="167" fontId="4" fillId="0" borderId="16" xfId="0" applyNumberFormat="1" applyFont="1" applyFill="1" applyBorder="1" applyAlignment="1" applyProtection="1">
      <alignment vertical="center"/>
      <protection/>
    </xf>
    <xf numFmtId="167" fontId="6" fillId="0" borderId="29" xfId="0" applyNumberFormat="1" applyFont="1" applyFill="1" applyBorder="1" applyAlignment="1" applyProtection="1">
      <alignment vertical="center"/>
      <protection/>
    </xf>
    <xf numFmtId="165" fontId="4" fillId="8" borderId="18" xfId="0" applyNumberFormat="1" applyFont="1" applyFill="1" applyBorder="1" applyAlignment="1" applyProtection="1">
      <alignment vertical="center"/>
      <protection/>
    </xf>
    <xf numFmtId="165" fontId="4" fillId="8" borderId="21" xfId="0" applyNumberFormat="1" applyFont="1" applyFill="1" applyBorder="1" applyAlignment="1" applyProtection="1">
      <alignment vertical="center"/>
      <protection/>
    </xf>
    <xf numFmtId="165" fontId="4" fillId="8" borderId="22" xfId="0" applyNumberFormat="1" applyFont="1" applyFill="1" applyBorder="1" applyAlignment="1" applyProtection="1">
      <alignment vertical="center"/>
      <protection/>
    </xf>
    <xf numFmtId="165" fontId="4" fillId="8" borderId="19" xfId="0" applyNumberFormat="1" applyFont="1" applyFill="1" applyBorder="1" applyAlignment="1" applyProtection="1">
      <alignment vertical="center"/>
      <protection/>
    </xf>
    <xf numFmtId="165" fontId="4" fillId="8" borderId="24" xfId="0" applyNumberFormat="1" applyFont="1" applyFill="1" applyBorder="1" applyAlignment="1" applyProtection="1">
      <alignment vertical="center"/>
      <protection/>
    </xf>
    <xf numFmtId="165" fontId="4" fillId="8" borderId="25" xfId="0" applyNumberFormat="1" applyFont="1" applyFill="1" applyBorder="1" applyAlignment="1" applyProtection="1">
      <alignment vertical="center"/>
      <protection/>
    </xf>
    <xf numFmtId="165" fontId="6" fillId="8" borderId="26" xfId="0" applyNumberFormat="1" applyFont="1" applyFill="1" applyBorder="1" applyAlignment="1" applyProtection="1">
      <alignment vertical="center"/>
      <protection/>
    </xf>
    <xf numFmtId="165" fontId="6" fillId="0" borderId="26" xfId="0" applyNumberFormat="1" applyFont="1" applyFill="1" applyBorder="1" applyAlignment="1" applyProtection="1">
      <alignment vertical="center"/>
      <protection/>
    </xf>
    <xf numFmtId="164" fontId="0" fillId="0" borderId="0" xfId="0" applyFill="1" applyBorder="1" applyAlignment="1">
      <alignment vertical="center"/>
    </xf>
    <xf numFmtId="164" fontId="0" fillId="0" borderId="0" xfId="0" applyFill="1" applyAlignment="1">
      <alignment/>
    </xf>
    <xf numFmtId="165" fontId="14" fillId="0" borderId="31" xfId="0" applyNumberFormat="1" applyFont="1" applyFill="1" applyBorder="1" applyAlignment="1">
      <alignment vertical="center"/>
    </xf>
    <xf numFmtId="165" fontId="4" fillId="0" borderId="31" xfId="0" applyNumberFormat="1" applyFont="1" applyFill="1" applyBorder="1" applyAlignment="1">
      <alignment vertical="center"/>
    </xf>
    <xf numFmtId="165" fontId="14" fillId="0" borderId="32" xfId="0" applyNumberFormat="1" applyFont="1" applyFill="1" applyBorder="1" applyAlignment="1" applyProtection="1">
      <alignment vertical="center"/>
      <protection/>
    </xf>
    <xf numFmtId="164" fontId="3" fillId="0" borderId="0" xfId="0" applyFont="1" applyAlignment="1" quotePrefix="1">
      <alignment horizontal="left" vertical="center"/>
    </xf>
    <xf numFmtId="164" fontId="6" fillId="0" borderId="0" xfId="0" applyFont="1" applyFill="1" applyBorder="1" applyAlignment="1">
      <alignment horizontal="center" vertical="center" wrapText="1"/>
    </xf>
    <xf numFmtId="164" fontId="20" fillId="0" borderId="0" xfId="0" applyFont="1" applyAlignment="1">
      <alignment horizontal="center" vertical="center"/>
    </xf>
    <xf numFmtId="164" fontId="12" fillId="0" borderId="0" xfId="56" applyFont="1" applyFill="1" applyBorder="1" applyAlignment="1" quotePrefix="1">
      <alignment horizontal="center" vertical="center"/>
      <protection/>
    </xf>
    <xf numFmtId="164" fontId="6" fillId="0" borderId="0" xfId="55" applyFont="1" applyFill="1" applyBorder="1" applyAlignment="1">
      <alignment horizontal="center" vertical="center"/>
      <protection/>
    </xf>
    <xf numFmtId="165" fontId="4" fillId="8" borderId="33" xfId="0" applyNumberFormat="1" applyFont="1" applyFill="1" applyBorder="1" applyAlignment="1" applyProtection="1">
      <alignment vertical="center"/>
      <protection/>
    </xf>
    <xf numFmtId="164" fontId="0" fillId="0" borderId="0" xfId="0" applyAlignment="1">
      <alignment horizontal="center" vertical="center"/>
    </xf>
    <xf numFmtId="166" fontId="21" fillId="20" borderId="13" xfId="0" applyNumberFormat="1" applyFont="1" applyFill="1" applyBorder="1" applyAlignment="1" applyProtection="1">
      <alignment vertical="center"/>
      <protection/>
    </xf>
    <xf numFmtId="167" fontId="21" fillId="20" borderId="15" xfId="0" applyNumberFormat="1" applyFont="1" applyFill="1" applyBorder="1" applyAlignment="1" applyProtection="1">
      <alignment vertical="center"/>
      <protection/>
    </xf>
    <xf numFmtId="167" fontId="21" fillId="20" borderId="14" xfId="0" applyNumberFormat="1" applyFont="1" applyFill="1" applyBorder="1" applyAlignment="1" applyProtection="1">
      <alignment vertical="center"/>
      <protection/>
    </xf>
    <xf numFmtId="167" fontId="21" fillId="0" borderId="26" xfId="0" applyNumberFormat="1" applyFont="1" applyFill="1" applyBorder="1" applyAlignment="1" applyProtection="1">
      <alignment vertical="center"/>
      <protection/>
    </xf>
    <xf numFmtId="164" fontId="43" fillId="0" borderId="0" xfId="61" applyAlignment="1">
      <alignment vertical="center"/>
      <protection/>
    </xf>
    <xf numFmtId="164" fontId="6" fillId="0" borderId="0" xfId="61" applyFont="1" applyFill="1" applyBorder="1" applyAlignment="1" quotePrefix="1">
      <alignment horizontal="center" vertical="center"/>
      <protection/>
    </xf>
    <xf numFmtId="164" fontId="6" fillId="0" borderId="0" xfId="57" applyFont="1" applyFill="1" applyBorder="1" applyAlignment="1">
      <alignment horizontal="left" vertical="center"/>
      <protection/>
    </xf>
    <xf numFmtId="164" fontId="6" fillId="0" borderId="0" xfId="61" applyFont="1" applyFill="1" applyBorder="1" applyAlignment="1" quotePrefix="1">
      <alignment horizontal="left" vertical="center"/>
      <protection/>
    </xf>
    <xf numFmtId="164" fontId="50" fillId="0" borderId="0" xfId="61" applyFont="1" applyAlignment="1">
      <alignment vertical="center"/>
      <protection/>
    </xf>
    <xf numFmtId="165" fontId="21" fillId="28" borderId="34" xfId="0" applyNumberFormat="1" applyFont="1" applyFill="1" applyBorder="1" applyAlignment="1" applyProtection="1">
      <alignment vertical="center"/>
      <protection/>
    </xf>
    <xf numFmtId="165" fontId="21" fillId="28" borderId="35" xfId="0" applyNumberFormat="1" applyFont="1" applyFill="1" applyBorder="1" applyAlignment="1" applyProtection="1">
      <alignment vertical="center"/>
      <protection/>
    </xf>
    <xf numFmtId="165" fontId="21" fillId="28" borderId="14" xfId="0" applyNumberFormat="1" applyFont="1" applyFill="1" applyBorder="1" applyAlignment="1" applyProtection="1">
      <alignment vertical="center"/>
      <protection/>
    </xf>
    <xf numFmtId="164" fontId="14" fillId="0" borderId="0" xfId="61" applyFont="1" applyFill="1" applyBorder="1" applyAlignment="1" quotePrefix="1">
      <alignment horizontal="left" vertical="center"/>
      <protection/>
    </xf>
    <xf numFmtId="165" fontId="14" fillId="20" borderId="32" xfId="0" applyNumberFormat="1" applyFont="1" applyFill="1" applyBorder="1" applyAlignment="1">
      <alignment/>
    </xf>
    <xf numFmtId="165" fontId="14" fillId="0" borderId="36" xfId="0" applyNumberFormat="1" applyFont="1" applyFill="1" applyBorder="1" applyAlignment="1">
      <alignment/>
    </xf>
    <xf numFmtId="165" fontId="14" fillId="20" borderId="37" xfId="0" applyNumberFormat="1" applyFont="1" applyFill="1" applyBorder="1" applyAlignment="1" applyProtection="1">
      <alignment/>
      <protection/>
    </xf>
    <xf numFmtId="165" fontId="14" fillId="0" borderId="38" xfId="0" applyNumberFormat="1" applyFont="1" applyFill="1" applyBorder="1" applyAlignment="1" applyProtection="1">
      <alignment/>
      <protection/>
    </xf>
    <xf numFmtId="165" fontId="14" fillId="0" borderId="39" xfId="0" applyNumberFormat="1" applyFont="1" applyFill="1" applyBorder="1" applyAlignment="1" applyProtection="1">
      <alignment/>
      <protection/>
    </xf>
    <xf numFmtId="165" fontId="3" fillId="20" borderId="10" xfId="0" applyNumberFormat="1" applyFont="1" applyFill="1" applyBorder="1" applyAlignment="1">
      <alignment/>
    </xf>
    <xf numFmtId="165" fontId="3" fillId="29" borderId="13" xfId="0" applyNumberFormat="1" applyFont="1" applyFill="1" applyBorder="1" applyAlignment="1" applyProtection="1">
      <alignment vertical="center"/>
      <protection/>
    </xf>
    <xf numFmtId="165" fontId="3" fillId="20" borderId="16" xfId="0" applyNumberFormat="1" applyFont="1" applyFill="1" applyBorder="1" applyAlignment="1" applyProtection="1">
      <alignment/>
      <protection/>
    </xf>
    <xf numFmtId="165" fontId="3" fillId="20" borderId="20" xfId="0" applyNumberFormat="1" applyFont="1" applyFill="1" applyBorder="1" applyAlignment="1" applyProtection="1">
      <alignment/>
      <protection/>
    </xf>
    <xf numFmtId="164" fontId="46" fillId="0" borderId="0" xfId="0" applyFont="1" applyFill="1" applyBorder="1" applyAlignment="1">
      <alignment horizontal="left" vertical="center"/>
    </xf>
    <xf numFmtId="164" fontId="21" fillId="0" borderId="0" xfId="0" applyFont="1" applyFill="1" applyBorder="1" applyAlignment="1">
      <alignment horizontal="right" vertical="center"/>
    </xf>
    <xf numFmtId="165" fontId="21" fillId="0" borderId="11" xfId="0" applyNumberFormat="1" applyFont="1" applyFill="1" applyBorder="1" applyAlignment="1">
      <alignment vertical="center"/>
    </xf>
    <xf numFmtId="165" fontId="14" fillId="8" borderId="29" xfId="0" applyNumberFormat="1" applyFont="1" applyFill="1" applyBorder="1" applyAlignment="1" applyProtection="1">
      <alignment vertical="center"/>
      <protection/>
    </xf>
    <xf numFmtId="164" fontId="21" fillId="0" borderId="0" xfId="57" applyFont="1" applyFill="1" applyBorder="1" applyAlignment="1">
      <alignment horizontal="left" vertical="center"/>
      <protection/>
    </xf>
    <xf numFmtId="165" fontId="4" fillId="0" borderId="38" xfId="0" applyNumberFormat="1" applyFont="1" applyFill="1" applyBorder="1" applyAlignment="1" applyProtection="1">
      <alignment vertical="center"/>
      <protection/>
    </xf>
    <xf numFmtId="165" fontId="4" fillId="0" borderId="30" xfId="0" applyNumberFormat="1" applyFont="1" applyFill="1" applyBorder="1" applyAlignment="1" applyProtection="1">
      <alignment vertical="center"/>
      <protection/>
    </xf>
    <xf numFmtId="166" fontId="4" fillId="20" borderId="15" xfId="0" applyNumberFormat="1" applyFont="1" applyFill="1" applyBorder="1" applyAlignment="1" applyProtection="1">
      <alignment vertical="center"/>
      <protection/>
    </xf>
    <xf numFmtId="166" fontId="4" fillId="20" borderId="14" xfId="0" applyNumberFormat="1" applyFont="1" applyFill="1" applyBorder="1" applyAlignment="1" applyProtection="1">
      <alignment vertical="center"/>
      <protection/>
    </xf>
    <xf numFmtId="166" fontId="4" fillId="0" borderId="38" xfId="0" applyNumberFormat="1" applyFont="1" applyFill="1" applyBorder="1" applyAlignment="1" applyProtection="1">
      <alignment vertical="center"/>
      <protection/>
    </xf>
    <xf numFmtId="166" fontId="4" fillId="0" borderId="30" xfId="0" applyNumberFormat="1" applyFont="1" applyFill="1" applyBorder="1" applyAlignment="1" applyProtection="1">
      <alignment vertical="center"/>
      <protection/>
    </xf>
    <xf numFmtId="164" fontId="14" fillId="0" borderId="0" xfId="0" applyFont="1" applyFill="1" applyBorder="1" applyAlignment="1">
      <alignment vertical="center"/>
    </xf>
    <xf numFmtId="164" fontId="19" fillId="0" borderId="0" xfId="0" applyFont="1" applyAlignment="1">
      <alignment horizontal="center" vertical="center"/>
    </xf>
    <xf numFmtId="165" fontId="14" fillId="0" borderId="10" xfId="0" applyNumberFormat="1" applyFont="1" applyFill="1" applyBorder="1" applyAlignment="1" applyProtection="1">
      <alignment vertical="center"/>
      <protection/>
    </xf>
    <xf numFmtId="164" fontId="14" fillId="0" borderId="0" xfId="59" applyFont="1" applyFill="1" applyBorder="1" applyAlignment="1">
      <alignment horizontal="center" vertical="center"/>
      <protection/>
    </xf>
    <xf numFmtId="164" fontId="0" fillId="0" borderId="0" xfId="0" applyAlignment="1">
      <alignment horizontal="right" vertical="center" indent="1"/>
    </xf>
    <xf numFmtId="164" fontId="52" fillId="0" borderId="0" xfId="0" applyFont="1" applyFill="1" applyBorder="1" applyAlignment="1">
      <alignment horizontal="center" vertical="center"/>
    </xf>
    <xf numFmtId="164" fontId="6" fillId="0" borderId="0" xfId="0" applyFont="1" applyFill="1" applyBorder="1" applyAlignment="1" quotePrefix="1">
      <alignment horizontal="center" vertical="center"/>
    </xf>
    <xf numFmtId="164" fontId="48" fillId="0" borderId="0" xfId="0" applyFont="1" applyFill="1" applyBorder="1" applyAlignment="1" quotePrefix="1">
      <alignment horizontal="center" vertical="center"/>
    </xf>
    <xf numFmtId="165" fontId="4" fillId="8" borderId="17" xfId="0" applyNumberFormat="1" applyFont="1" applyFill="1" applyBorder="1" applyAlignment="1" applyProtection="1">
      <alignment vertical="center"/>
      <protection/>
    </xf>
    <xf numFmtId="165" fontId="4" fillId="8" borderId="38" xfId="0" applyNumberFormat="1" applyFont="1" applyFill="1" applyBorder="1" applyAlignment="1" applyProtection="1">
      <alignment vertical="center"/>
      <protection/>
    </xf>
    <xf numFmtId="165" fontId="4" fillId="8" borderId="30" xfId="0" applyNumberFormat="1" applyFont="1" applyFill="1" applyBorder="1" applyAlignment="1" applyProtection="1">
      <alignment vertical="center"/>
      <protection/>
    </xf>
    <xf numFmtId="164" fontId="14" fillId="0" borderId="0" xfId="0" applyFont="1" applyFill="1" applyBorder="1" applyAlignment="1">
      <alignment horizontal="center"/>
    </xf>
    <xf numFmtId="165" fontId="6" fillId="0" borderId="31" xfId="0" applyNumberFormat="1" applyFont="1" applyFill="1" applyBorder="1" applyAlignment="1">
      <alignment vertical="center"/>
    </xf>
    <xf numFmtId="166" fontId="4" fillId="0" borderId="11" xfId="0" applyNumberFormat="1" applyFont="1" applyFill="1" applyBorder="1" applyAlignment="1">
      <alignment vertical="center"/>
    </xf>
    <xf numFmtId="166" fontId="4" fillId="0" borderId="12" xfId="0" applyNumberFormat="1" applyFont="1" applyFill="1" applyBorder="1" applyAlignment="1">
      <alignment vertical="center"/>
    </xf>
    <xf numFmtId="165" fontId="4" fillId="19" borderId="29" xfId="0" applyNumberFormat="1" applyFont="1" applyFill="1" applyBorder="1" applyAlignment="1" applyProtection="1">
      <alignment vertical="center"/>
      <protection/>
    </xf>
    <xf numFmtId="165" fontId="4" fillId="8" borderId="29" xfId="0" applyNumberFormat="1" applyFont="1" applyFill="1" applyBorder="1" applyAlignment="1" applyProtection="1">
      <alignment vertical="center"/>
      <protection/>
    </xf>
    <xf numFmtId="166" fontId="4" fillId="11" borderId="28" xfId="0" applyNumberFormat="1" applyFont="1" applyFill="1" applyBorder="1" applyAlignment="1" applyProtection="1">
      <alignment vertical="center"/>
      <protection/>
    </xf>
    <xf numFmtId="164" fontId="34" fillId="0" borderId="0" xfId="0" applyFont="1" applyAlignment="1" quotePrefix="1">
      <alignment horizontal="center"/>
    </xf>
    <xf numFmtId="164" fontId="11" fillId="0" borderId="0" xfId="0" applyFont="1" applyFill="1" applyBorder="1" applyAlignment="1">
      <alignment horizontal="right" vertical="center" indent="1"/>
    </xf>
    <xf numFmtId="164" fontId="11" fillId="0" borderId="0" xfId="0" applyFont="1" applyFill="1" applyBorder="1" applyAlignment="1">
      <alignment horizontal="left" vertical="center"/>
    </xf>
    <xf numFmtId="164" fontId="6" fillId="0" borderId="0" xfId="0" applyFont="1" applyFill="1" applyBorder="1" applyAlignment="1">
      <alignment horizontal="right"/>
    </xf>
    <xf numFmtId="164" fontId="14" fillId="0" borderId="0" xfId="61" applyFont="1" applyFill="1" applyBorder="1" applyAlignment="1" quotePrefix="1">
      <alignment horizontal="center" vertical="center"/>
      <protection/>
    </xf>
    <xf numFmtId="165" fontId="51" fillId="20" borderId="0" xfId="0" applyNumberFormat="1" applyFont="1" applyFill="1" applyBorder="1" applyAlignment="1">
      <alignment vertical="center"/>
    </xf>
    <xf numFmtId="165" fontId="45" fillId="0" borderId="0" xfId="0" applyNumberFormat="1" applyFont="1" applyFill="1" applyBorder="1" applyAlignment="1">
      <alignment vertical="center"/>
    </xf>
    <xf numFmtId="165" fontId="51" fillId="20" borderId="0" xfId="0" applyNumberFormat="1" applyFont="1" applyFill="1" applyBorder="1" applyAlignment="1" applyProtection="1">
      <alignment vertical="center"/>
      <protection/>
    </xf>
    <xf numFmtId="165" fontId="45" fillId="0" borderId="0" xfId="0" applyNumberFormat="1" applyFont="1" applyFill="1" applyBorder="1" applyAlignment="1" applyProtection="1">
      <alignment vertical="center"/>
      <protection/>
    </xf>
    <xf numFmtId="165" fontId="51" fillId="11" borderId="0" xfId="0" applyNumberFormat="1" applyFont="1" applyFill="1" applyBorder="1" applyAlignment="1" applyProtection="1">
      <alignment vertical="center"/>
      <protection/>
    </xf>
    <xf numFmtId="165" fontId="6" fillId="0" borderId="27" xfId="0" applyNumberFormat="1" applyFont="1" applyFill="1" applyBorder="1" applyAlignment="1" applyProtection="1">
      <alignment vertical="center"/>
      <protection/>
    </xf>
    <xf numFmtId="164" fontId="6" fillId="0" borderId="0" xfId="0" applyFont="1" applyFill="1" applyBorder="1" applyAlignment="1" quotePrefix="1">
      <alignment horizontal="left" vertical="center"/>
    </xf>
    <xf numFmtId="164" fontId="53" fillId="0" borderId="0" xfId="0" applyFont="1" applyFill="1" applyBorder="1" applyAlignment="1">
      <alignment horizontal="center" vertical="center"/>
    </xf>
    <xf numFmtId="167" fontId="4" fillId="0" borderId="31" xfId="0" applyNumberFormat="1" applyFont="1" applyFill="1" applyBorder="1" applyAlignment="1">
      <alignment vertical="center"/>
    </xf>
    <xf numFmtId="165" fontId="3" fillId="0" borderId="31" xfId="0" applyNumberFormat="1" applyFont="1" applyFill="1" applyBorder="1" applyAlignment="1">
      <alignment vertical="center"/>
    </xf>
    <xf numFmtId="165" fontId="4" fillId="23" borderId="31" xfId="0" applyNumberFormat="1" applyFont="1" applyFill="1" applyBorder="1" applyAlignment="1">
      <alignment vertical="center"/>
    </xf>
    <xf numFmtId="164" fontId="0" fillId="0" borderId="40" xfId="0" applyBorder="1" applyAlignment="1">
      <alignment/>
    </xf>
    <xf numFmtId="165" fontId="4" fillId="0" borderId="31" xfId="0" applyNumberFormat="1" applyFont="1" applyFill="1" applyBorder="1" applyAlignment="1">
      <alignment/>
    </xf>
    <xf numFmtId="167" fontId="5" fillId="0" borderId="31" xfId="0" applyNumberFormat="1" applyFont="1" applyFill="1" applyBorder="1" applyAlignment="1" applyProtection="1">
      <alignment vertical="center"/>
      <protection/>
    </xf>
    <xf numFmtId="165" fontId="14" fillId="0" borderId="41" xfId="0" applyNumberFormat="1" applyFont="1" applyFill="1" applyBorder="1" applyAlignment="1">
      <alignment/>
    </xf>
    <xf numFmtId="166" fontId="6" fillId="21" borderId="31" xfId="0" applyNumberFormat="1" applyFont="1" applyFill="1" applyBorder="1" applyAlignment="1" applyProtection="1">
      <alignment vertical="center"/>
      <protection/>
    </xf>
    <xf numFmtId="165" fontId="6" fillId="20" borderId="16" xfId="0" applyNumberFormat="1" applyFont="1" applyFill="1" applyBorder="1" applyAlignment="1" applyProtection="1">
      <alignment vertical="center"/>
      <protection/>
    </xf>
    <xf numFmtId="164" fontId="55" fillId="0" borderId="0" xfId="0" applyFont="1" applyAlignment="1">
      <alignment vertical="center"/>
    </xf>
    <xf numFmtId="11" fontId="4" fillId="0" borderId="16" xfId="0" applyNumberFormat="1" applyFont="1" applyFill="1" applyBorder="1" applyAlignment="1" applyProtection="1">
      <alignment vertical="center"/>
      <protection/>
    </xf>
    <xf numFmtId="11" fontId="6" fillId="0" borderId="29" xfId="0" applyNumberFormat="1" applyFont="1" applyFill="1" applyBorder="1" applyAlignment="1" applyProtection="1">
      <alignment vertical="center"/>
      <protection/>
    </xf>
    <xf numFmtId="164" fontId="7" fillId="0" borderId="0" xfId="61" applyFont="1" applyFill="1" applyBorder="1" applyAlignment="1" quotePrefix="1">
      <alignment horizontal="left" vertical="center"/>
      <protection/>
    </xf>
    <xf numFmtId="164" fontId="56" fillId="0" borderId="0" xfId="61" applyFont="1" applyAlignment="1">
      <alignment horizontal="center"/>
      <protection/>
    </xf>
    <xf numFmtId="164" fontId="4" fillId="0" borderId="0" xfId="61" applyFont="1" applyFill="1" applyBorder="1" applyAlignment="1" quotePrefix="1">
      <alignment horizontal="center" vertical="center"/>
      <protection/>
    </xf>
    <xf numFmtId="164" fontId="6" fillId="0" borderId="0" xfId="0" applyFont="1" applyFill="1" applyBorder="1" applyAlignment="1">
      <alignment horizontal="left" vertical="center" indent="1"/>
    </xf>
    <xf numFmtId="164" fontId="14" fillId="0" borderId="0" xfId="57" applyFont="1" applyFill="1" applyBorder="1" applyAlignment="1">
      <alignment horizontal="right" vertical="center" indent="1"/>
      <protection/>
    </xf>
    <xf numFmtId="164" fontId="12" fillId="0" borderId="0" xfId="61" applyFont="1" applyFill="1" applyBorder="1" applyAlignment="1">
      <alignment horizontal="center" vertical="center"/>
      <protection/>
    </xf>
    <xf numFmtId="164" fontId="14" fillId="0" borderId="0" xfId="61" applyFont="1" applyFill="1" applyBorder="1" applyAlignment="1">
      <alignment horizontal="right" vertical="center" indent="1"/>
      <protection/>
    </xf>
    <xf numFmtId="166" fontId="4" fillId="0" borderId="31" xfId="0" applyNumberFormat="1" applyFont="1" applyFill="1" applyBorder="1" applyAlignment="1">
      <alignment vertical="center"/>
    </xf>
    <xf numFmtId="165" fontId="6" fillId="20" borderId="20" xfId="0" applyNumberFormat="1" applyFont="1" applyFill="1" applyBorder="1" applyAlignment="1" applyProtection="1">
      <alignment vertical="center"/>
      <protection/>
    </xf>
    <xf numFmtId="165" fontId="6" fillId="20" borderId="10" xfId="0" applyNumberFormat="1" applyFont="1" applyFill="1" applyBorder="1" applyAlignment="1">
      <alignment vertical="center"/>
    </xf>
    <xf numFmtId="164" fontId="7" fillId="0" borderId="0" xfId="0" applyFont="1" applyFill="1" applyBorder="1" applyAlignment="1">
      <alignment horizontal="left" vertical="center"/>
    </xf>
    <xf numFmtId="164" fontId="14" fillId="0" borderId="0" xfId="0" applyFont="1" applyFill="1" applyBorder="1" applyAlignment="1">
      <alignment horizontal="right" vertical="center"/>
    </xf>
    <xf numFmtId="164" fontId="57" fillId="0" borderId="0" xfId="0" applyFont="1" applyAlignment="1">
      <alignment vertical="center"/>
    </xf>
    <xf numFmtId="164" fontId="58" fillId="0" borderId="0" xfId="0" applyFont="1" applyAlignment="1">
      <alignment vertical="center"/>
    </xf>
    <xf numFmtId="164" fontId="58" fillId="0" borderId="0" xfId="0" applyFont="1" applyAlignment="1">
      <alignment/>
    </xf>
    <xf numFmtId="164" fontId="22" fillId="0" borderId="0" xfId="0" applyFont="1" applyFill="1" applyBorder="1" applyAlignment="1" quotePrefix="1">
      <alignment horizontal="center" vertical="center"/>
    </xf>
    <xf numFmtId="166" fontId="4" fillId="0" borderId="27" xfId="60" applyNumberFormat="1" applyFont="1" applyFill="1" applyBorder="1" applyAlignment="1">
      <alignment vertical="center"/>
      <protection/>
    </xf>
    <xf numFmtId="164" fontId="8" fillId="0" borderId="0" xfId="0" applyFont="1" applyFill="1" applyBorder="1" applyAlignment="1" quotePrefix="1">
      <alignment horizontal="center" vertical="center"/>
    </xf>
    <xf numFmtId="164" fontId="6" fillId="0" borderId="0" xfId="57" applyFont="1" applyFill="1" applyBorder="1" applyAlignment="1">
      <alignment horizontal="left"/>
      <protection/>
    </xf>
    <xf numFmtId="164" fontId="6" fillId="0" borderId="0" xfId="57" applyFont="1" applyFill="1" applyBorder="1" applyAlignment="1">
      <alignment horizontal="center" vertical="center"/>
      <protection/>
    </xf>
    <xf numFmtId="165" fontId="14" fillId="8" borderId="16" xfId="0" applyNumberFormat="1" applyFont="1" applyFill="1" applyBorder="1" applyAlignment="1" applyProtection="1">
      <alignment vertical="center"/>
      <protection/>
    </xf>
    <xf numFmtId="165" fontId="14" fillId="30" borderId="13" xfId="0" applyNumberFormat="1" applyFont="1" applyFill="1" applyBorder="1" applyAlignment="1" applyProtection="1">
      <alignment vertical="center"/>
      <protection/>
    </xf>
    <xf numFmtId="164" fontId="43" fillId="0" borderId="0" xfId="60" applyAlignment="1">
      <alignment vertical="center"/>
      <protection/>
    </xf>
    <xf numFmtId="164" fontId="6" fillId="0" borderId="0" xfId="0" applyFont="1" applyFill="1" applyBorder="1" applyAlignment="1" quotePrefix="1">
      <alignment horizontal="right" vertical="center" indent="1"/>
    </xf>
    <xf numFmtId="164" fontId="6" fillId="0" borderId="0" xfId="0" applyFont="1" applyFill="1" applyBorder="1" applyAlignment="1" quotePrefix="1">
      <alignment horizontal="right" vertical="center"/>
    </xf>
    <xf numFmtId="164" fontId="6" fillId="0" borderId="0" xfId="55" applyFont="1" applyFill="1" applyBorder="1" applyAlignment="1">
      <alignment horizontal="right" vertical="center"/>
      <protection/>
    </xf>
    <xf numFmtId="164" fontId="60" fillId="0" borderId="0" xfId="0" applyFont="1" applyFill="1" applyBorder="1" applyAlignment="1">
      <alignment horizontal="center"/>
    </xf>
    <xf numFmtId="165" fontId="51" fillId="11" borderId="0" xfId="0" applyNumberFormat="1" applyFont="1" applyFill="1" applyBorder="1" applyAlignment="1" applyProtection="1">
      <alignment horizontal="right" vertical="center"/>
      <protection/>
    </xf>
    <xf numFmtId="164" fontId="64" fillId="0" borderId="0" xfId="0" applyFont="1" applyFill="1" applyBorder="1" applyAlignment="1">
      <alignment horizontal="center" vertical="center"/>
    </xf>
    <xf numFmtId="164" fontId="64" fillId="0" borderId="0" xfId="0" applyFont="1" applyFill="1" applyBorder="1" applyAlignment="1">
      <alignment horizontal="center" vertical="center" wrapText="1"/>
    </xf>
    <xf numFmtId="164" fontId="53" fillId="0" borderId="0" xfId="0" applyFont="1" applyFill="1" applyBorder="1" applyAlignment="1">
      <alignment horizontal="center"/>
    </xf>
    <xf numFmtId="164" fontId="6" fillId="0" borderId="0" xfId="57" applyFont="1" applyFill="1" applyBorder="1" applyAlignment="1">
      <alignment horizontal="right" vertical="center"/>
      <protection/>
    </xf>
    <xf numFmtId="164" fontId="6" fillId="0" borderId="0" xfId="57" applyFont="1" applyAlignment="1" quotePrefix="1">
      <alignment horizontal="left" vertical="center"/>
      <protection/>
    </xf>
    <xf numFmtId="164" fontId="27" fillId="0" borderId="0" xfId="0" applyFont="1" applyFill="1" applyBorder="1" applyAlignment="1">
      <alignment horizontal="center" vertical="center"/>
    </xf>
    <xf numFmtId="164" fontId="6" fillId="0" borderId="0" xfId="60" applyFont="1" applyAlignment="1" quotePrefix="1">
      <alignment horizontal="left" vertical="center"/>
      <protection/>
    </xf>
    <xf numFmtId="164" fontId="48" fillId="0" borderId="0" xfId="0" applyFont="1" applyFill="1" applyBorder="1" applyAlignment="1" quotePrefix="1">
      <alignment horizontal="center" vertical="center" wrapText="1"/>
    </xf>
    <xf numFmtId="164" fontId="7" fillId="0" borderId="0" xfId="0" applyFont="1" applyFill="1" applyBorder="1" applyAlignment="1">
      <alignment vertical="center" wrapText="1"/>
    </xf>
    <xf numFmtId="164" fontId="6" fillId="0" borderId="0" xfId="0" applyFont="1" applyFill="1" applyBorder="1" applyAlignment="1" quotePrefix="1">
      <alignment horizontal="center" vertical="center" wrapText="1"/>
    </xf>
    <xf numFmtId="164" fontId="6" fillId="0" borderId="0" xfId="58" applyFont="1" applyFill="1" applyBorder="1" applyAlignment="1">
      <alignment horizontal="right" vertical="center" indent="1"/>
      <protection/>
    </xf>
    <xf numFmtId="164" fontId="14" fillId="0" borderId="0" xfId="59" applyFont="1" applyFill="1" applyBorder="1" applyAlignment="1">
      <alignment horizontal="right" vertical="center"/>
      <protection/>
    </xf>
    <xf numFmtId="164" fontId="6" fillId="0" borderId="0" xfId="0" applyFont="1" applyFill="1" applyBorder="1" applyAlignment="1" quotePrefix="1">
      <alignment horizontal="right" vertical="center" wrapText="1"/>
    </xf>
    <xf numFmtId="164" fontId="21" fillId="0" borderId="0" xfId="58" applyFont="1" applyFill="1" applyBorder="1" applyAlignment="1">
      <alignment horizontal="right" vertical="center" indent="1"/>
      <protection/>
    </xf>
    <xf numFmtId="164" fontId="6" fillId="0" borderId="0" xfId="58" applyFont="1" applyFill="1" applyBorder="1" applyAlignment="1" quotePrefix="1">
      <alignment horizontal="right" vertical="center" indent="1"/>
      <protection/>
    </xf>
    <xf numFmtId="164" fontId="14" fillId="0" borderId="0" xfId="57" applyFont="1" applyFill="1" applyBorder="1" applyAlignment="1" quotePrefix="1">
      <alignment horizontal="right" indent="1"/>
      <protection/>
    </xf>
    <xf numFmtId="164" fontId="14" fillId="0" borderId="0" xfId="60" applyFont="1" applyFill="1" applyBorder="1" applyAlignment="1">
      <alignment horizontal="right" indent="1"/>
      <protection/>
    </xf>
    <xf numFmtId="164" fontId="3" fillId="0" borderId="0" xfId="57" applyFont="1" applyAlignment="1" quotePrefix="1">
      <alignment horizontal="left" vertical="center"/>
      <protection/>
    </xf>
    <xf numFmtId="164" fontId="6" fillId="0" borderId="0" xfId="58" applyFont="1" applyFill="1" applyBorder="1" applyAlignment="1" quotePrefix="1">
      <alignment horizontal="left" vertical="center"/>
      <protection/>
    </xf>
    <xf numFmtId="164" fontId="7" fillId="0" borderId="0" xfId="58" applyFont="1" applyFill="1" applyBorder="1" applyAlignment="1">
      <alignment horizontal="left" vertical="center"/>
      <protection/>
    </xf>
    <xf numFmtId="164" fontId="43" fillId="0" borderId="0" xfId="60" applyAlignment="1">
      <alignment/>
      <protection/>
    </xf>
    <xf numFmtId="164" fontId="0" fillId="0" borderId="0" xfId="0" applyBorder="1" applyAlignment="1">
      <alignment/>
    </xf>
    <xf numFmtId="164" fontId="0" fillId="0" borderId="0" xfId="0" applyAlignment="1">
      <alignment horizontal="left" vertical="center" indent="1"/>
    </xf>
    <xf numFmtId="164" fontId="14" fillId="0" borderId="0" xfId="57" applyFont="1" applyFill="1" applyBorder="1" applyAlignment="1">
      <alignment horizontal="right" vertical="center"/>
      <protection/>
    </xf>
    <xf numFmtId="165" fontId="54" fillId="0" borderId="18" xfId="0" applyNumberFormat="1" applyFont="1" applyFill="1" applyBorder="1" applyAlignment="1" applyProtection="1">
      <alignment vertical="center"/>
      <protection/>
    </xf>
    <xf numFmtId="165" fontId="54" fillId="0" borderId="19" xfId="0" applyNumberFormat="1" applyFont="1" applyFill="1" applyBorder="1" applyAlignment="1" applyProtection="1">
      <alignment vertical="center"/>
      <protection/>
    </xf>
    <xf numFmtId="165" fontId="54" fillId="0" borderId="24" xfId="0" applyNumberFormat="1" applyFont="1" applyFill="1" applyBorder="1" applyAlignment="1" applyProtection="1">
      <alignment vertical="center"/>
      <protection/>
    </xf>
    <xf numFmtId="165" fontId="54" fillId="0" borderId="25" xfId="0" applyNumberFormat="1" applyFont="1" applyFill="1" applyBorder="1" applyAlignment="1" applyProtection="1">
      <alignment vertical="center"/>
      <protection/>
    </xf>
    <xf numFmtId="165" fontId="54" fillId="0" borderId="26" xfId="0" applyNumberFormat="1" applyFont="1" applyFill="1" applyBorder="1" applyAlignment="1" applyProtection="1">
      <alignment vertical="center"/>
      <protection/>
    </xf>
    <xf numFmtId="165" fontId="6" fillId="28" borderId="14" xfId="0" applyNumberFormat="1" applyFont="1" applyFill="1" applyBorder="1" applyAlignment="1" applyProtection="1">
      <alignment vertical="center"/>
      <protection/>
    </xf>
    <xf numFmtId="164" fontId="6" fillId="0" borderId="0" xfId="0" applyFont="1" applyAlignment="1">
      <alignment horizontal="left" vertical="center"/>
    </xf>
    <xf numFmtId="165" fontId="4" fillId="20" borderId="37" xfId="0" applyNumberFormat="1" applyFont="1" applyFill="1" applyBorder="1" applyAlignment="1" applyProtection="1">
      <alignment vertical="center"/>
      <protection/>
    </xf>
    <xf numFmtId="166" fontId="4" fillId="0" borderId="0" xfId="0" applyNumberFormat="1" applyFont="1" applyFill="1" applyBorder="1" applyAlignment="1" applyProtection="1">
      <alignment vertical="center"/>
      <protection/>
    </xf>
    <xf numFmtId="166" fontId="4" fillId="31" borderId="10" xfId="0" applyNumberFormat="1" applyFont="1" applyFill="1" applyBorder="1" applyAlignment="1" applyProtection="1">
      <alignment vertical="center"/>
      <protection/>
    </xf>
    <xf numFmtId="165" fontId="61" fillId="20" borderId="10" xfId="0" applyNumberFormat="1" applyFont="1" applyFill="1" applyBorder="1" applyAlignment="1">
      <alignment vertical="center"/>
    </xf>
    <xf numFmtId="165" fontId="61" fillId="20" borderId="13" xfId="0" applyNumberFormat="1" applyFont="1" applyFill="1" applyBorder="1" applyAlignment="1" applyProtection="1">
      <alignment vertical="center"/>
      <protection/>
    </xf>
    <xf numFmtId="165" fontId="61" fillId="20" borderId="16" xfId="0" applyNumberFormat="1" applyFont="1" applyFill="1" applyBorder="1" applyAlignment="1" applyProtection="1">
      <alignment vertical="center"/>
      <protection/>
    </xf>
    <xf numFmtId="165" fontId="61" fillId="20" borderId="20" xfId="0" applyNumberFormat="1" applyFont="1" applyFill="1" applyBorder="1" applyAlignment="1" applyProtection="1">
      <alignment vertical="center"/>
      <protection/>
    </xf>
    <xf numFmtId="165" fontId="61" fillId="20" borderId="23" xfId="0" applyNumberFormat="1" applyFont="1" applyFill="1" applyBorder="1" applyAlignment="1" applyProtection="1">
      <alignment vertical="center"/>
      <protection/>
    </xf>
    <xf numFmtId="165" fontId="61" fillId="22" borderId="13" xfId="0" applyNumberFormat="1" applyFont="1" applyFill="1" applyBorder="1" applyAlignment="1" applyProtection="1">
      <alignment vertical="center"/>
      <protection/>
    </xf>
    <xf numFmtId="165" fontId="61" fillId="22" borderId="16" xfId="0" applyNumberFormat="1" applyFont="1" applyFill="1" applyBorder="1" applyAlignment="1" applyProtection="1">
      <alignment vertical="center"/>
      <protection/>
    </xf>
    <xf numFmtId="165" fontId="61" fillId="22" borderId="20" xfId="0" applyNumberFormat="1" applyFont="1" applyFill="1" applyBorder="1" applyAlignment="1" applyProtection="1">
      <alignment vertical="center"/>
      <protection/>
    </xf>
    <xf numFmtId="165" fontId="61" fillId="22" borderId="23" xfId="0" applyNumberFormat="1" applyFont="1" applyFill="1" applyBorder="1" applyAlignment="1" applyProtection="1">
      <alignment vertical="center"/>
      <protection/>
    </xf>
    <xf numFmtId="165" fontId="61" fillId="22" borderId="10" xfId="0" applyNumberFormat="1" applyFont="1" applyFill="1" applyBorder="1" applyAlignment="1">
      <alignment vertical="center"/>
    </xf>
    <xf numFmtId="164" fontId="7" fillId="0" borderId="0" xfId="60" applyFont="1" applyFill="1" applyBorder="1" applyAlignment="1">
      <alignment horizontal="center" vertical="center"/>
      <protection/>
    </xf>
    <xf numFmtId="164" fontId="14" fillId="0" borderId="0" xfId="0" applyFont="1" applyFill="1" applyBorder="1" applyAlignment="1">
      <alignment horizontal="right" vertical="center" indent="1"/>
    </xf>
    <xf numFmtId="164" fontId="55" fillId="0" borderId="0" xfId="0" applyFont="1" applyAlignment="1">
      <alignment/>
    </xf>
    <xf numFmtId="164" fontId="63" fillId="0" borderId="0" xfId="61" applyFont="1" applyAlignment="1">
      <alignment horizontal="center"/>
      <protection/>
    </xf>
    <xf numFmtId="164" fontId="36" fillId="0" borderId="0" xfId="0" applyFont="1" applyAlignment="1">
      <alignment horizontal="left" vertical="center"/>
    </xf>
    <xf numFmtId="164" fontId="0" fillId="0" borderId="0" xfId="0" applyAlignment="1">
      <alignment horizontal="left" vertical="center"/>
    </xf>
    <xf numFmtId="164" fontId="0" fillId="0" borderId="0" xfId="0" applyAlignment="1">
      <alignment horizontal="left"/>
    </xf>
    <xf numFmtId="164" fontId="21" fillId="0" borderId="0" xfId="0" applyFont="1" applyFill="1" applyBorder="1" applyAlignment="1">
      <alignment horizontal="left" vertical="center"/>
    </xf>
    <xf numFmtId="165" fontId="61" fillId="20" borderId="37" xfId="0" applyNumberFormat="1" applyFont="1" applyFill="1" applyBorder="1" applyAlignment="1" applyProtection="1">
      <alignment vertical="center"/>
      <protection/>
    </xf>
    <xf numFmtId="165" fontId="14" fillId="0" borderId="0" xfId="0" applyNumberFormat="1" applyFont="1" applyFill="1" applyBorder="1" applyAlignment="1" applyProtection="1">
      <alignment vertical="center"/>
      <protection/>
    </xf>
    <xf numFmtId="164" fontId="7" fillId="0" borderId="0" xfId="60" applyFont="1" applyFill="1" applyBorder="1" applyAlignment="1">
      <alignment horizontal="left" vertical="center" indent="1"/>
      <protection/>
    </xf>
    <xf numFmtId="164" fontId="6" fillId="0" borderId="0" xfId="57" applyFont="1" applyFill="1" applyBorder="1" applyAlignment="1">
      <alignment horizontal="right" vertical="center" indent="2"/>
      <protection/>
    </xf>
    <xf numFmtId="164" fontId="6" fillId="0" borderId="0" xfId="58" applyFont="1" applyFill="1" applyBorder="1" applyAlignment="1" quotePrefix="1">
      <alignment horizontal="right" vertical="center"/>
      <protection/>
    </xf>
    <xf numFmtId="164" fontId="66" fillId="0" borderId="0" xfId="0" applyFont="1" applyAlignment="1">
      <alignment vertical="center"/>
    </xf>
    <xf numFmtId="164" fontId="67" fillId="0" borderId="0" xfId="61" applyFont="1" applyAlignment="1">
      <alignment horizontal="right"/>
      <protection/>
    </xf>
    <xf numFmtId="164" fontId="69" fillId="0" borderId="0" xfId="61" applyFont="1" applyFill="1" applyBorder="1" applyAlignment="1" quotePrefix="1">
      <alignment horizontal="left" vertical="center"/>
      <protection/>
    </xf>
    <xf numFmtId="164" fontId="52" fillId="0" borderId="0" xfId="61" applyFont="1" applyFill="1" applyBorder="1" applyAlignment="1">
      <alignment horizontal="right"/>
      <protection/>
    </xf>
    <xf numFmtId="164" fontId="25" fillId="0" borderId="0" xfId="61" applyFont="1" applyFill="1" applyBorder="1" applyAlignment="1" quotePrefix="1">
      <alignment horizontal="right" indent="2"/>
      <protection/>
    </xf>
    <xf numFmtId="164" fontId="70" fillId="0" borderId="0" xfId="61" applyFont="1" applyAlignment="1">
      <alignment horizontal="left"/>
      <protection/>
    </xf>
    <xf numFmtId="164" fontId="53" fillId="0" borderId="0" xfId="61" applyFont="1" applyFill="1" applyBorder="1" applyAlignment="1" quotePrefix="1">
      <alignment horizontal="center" vertical="center"/>
      <protection/>
    </xf>
    <xf numFmtId="164" fontId="53" fillId="0" borderId="0" xfId="60" applyFont="1" applyFill="1" applyBorder="1" applyAlignment="1">
      <alignment horizontal="center" vertical="center"/>
      <protection/>
    </xf>
    <xf numFmtId="164" fontId="7" fillId="0" borderId="0" xfId="60" applyFont="1" applyFill="1" applyBorder="1" applyAlignment="1">
      <alignment horizontal="left" vertical="center"/>
      <protection/>
    </xf>
    <xf numFmtId="164" fontId="9" fillId="0" borderId="0" xfId="0" applyFont="1" applyFill="1" applyBorder="1" applyAlignment="1" quotePrefix="1">
      <alignment horizontal="center"/>
    </xf>
    <xf numFmtId="164" fontId="7" fillId="0" borderId="0" xfId="58" applyFont="1" applyFill="1" applyBorder="1" applyAlignment="1">
      <alignment horizontal="left" vertical="center" indent="1"/>
      <protection/>
    </xf>
    <xf numFmtId="165" fontId="45" fillId="0" borderId="0" xfId="0" applyNumberFormat="1" applyFont="1" applyFill="1" applyBorder="1" applyAlignment="1" applyProtection="1">
      <alignment horizontal="right" vertical="center"/>
      <protection/>
    </xf>
    <xf numFmtId="164" fontId="44" fillId="0" borderId="0" xfId="0" applyFont="1" applyFill="1" applyBorder="1" applyAlignment="1">
      <alignment horizontal="center" vertical="center" wrapText="1"/>
    </xf>
    <xf numFmtId="166" fontId="45" fillId="0" borderId="0" xfId="0" applyNumberFormat="1" applyFont="1" applyFill="1" applyBorder="1" applyAlignment="1" applyProtection="1">
      <alignment vertical="center"/>
      <protection/>
    </xf>
    <xf numFmtId="167" fontId="45" fillId="0" borderId="0" xfId="0" applyNumberFormat="1" applyFont="1" applyFill="1" applyBorder="1" applyAlignment="1" applyProtection="1">
      <alignment vertical="center"/>
      <protection/>
    </xf>
    <xf numFmtId="164" fontId="11" fillId="0" borderId="0" xfId="62" applyFont="1" applyFill="1" applyBorder="1" applyAlignment="1">
      <alignment horizontal="left" indent="3"/>
      <protection/>
    </xf>
    <xf numFmtId="164" fontId="0" fillId="0" borderId="0" xfId="62" applyAlignment="1">
      <alignment vertical="center"/>
      <protection/>
    </xf>
    <xf numFmtId="164" fontId="6" fillId="0" borderId="0" xfId="62" applyFont="1" applyFill="1" applyBorder="1" applyAlignment="1">
      <alignment horizontal="right" vertical="center"/>
      <protection/>
    </xf>
    <xf numFmtId="164" fontId="47" fillId="0" borderId="0" xfId="62" applyFont="1" applyAlignment="1">
      <alignment horizontal="center" vertical="center"/>
      <protection/>
    </xf>
    <xf numFmtId="166" fontId="6" fillId="0" borderId="10" xfId="0" applyNumberFormat="1" applyFont="1" applyFill="1" applyBorder="1" applyAlignment="1">
      <alignment vertical="center"/>
    </xf>
    <xf numFmtId="10" fontId="4" fillId="0" borderId="10" xfId="0" applyNumberFormat="1" applyFont="1" applyFill="1" applyBorder="1" applyAlignment="1" applyProtection="1">
      <alignment vertical="center"/>
      <protection/>
    </xf>
    <xf numFmtId="164" fontId="12" fillId="0" borderId="0" xfId="56" applyFont="1" applyFill="1" applyBorder="1" applyAlignment="1">
      <alignment horizontal="center" vertical="center"/>
      <protection/>
    </xf>
    <xf numFmtId="164" fontId="41" fillId="0" borderId="0" xfId="62" applyFont="1" applyAlignment="1">
      <alignment horizontal="center" vertical="center"/>
      <protection/>
    </xf>
    <xf numFmtId="164" fontId="11" fillId="0" borderId="0" xfId="0" applyFont="1" applyFill="1" applyBorder="1" applyAlignment="1" quotePrefix="1">
      <alignment horizontal="center" vertical="center"/>
    </xf>
    <xf numFmtId="164" fontId="12" fillId="0" borderId="0" xfId="57" applyFont="1" applyFill="1" applyBorder="1" applyAlignment="1" quotePrefix="1">
      <alignment horizontal="left" vertical="center" indent="2"/>
      <protection/>
    </xf>
    <xf numFmtId="165" fontId="6" fillId="28" borderId="10" xfId="0" applyNumberFormat="1" applyFont="1" applyFill="1" applyBorder="1" applyAlignment="1">
      <alignment vertical="center"/>
    </xf>
    <xf numFmtId="165" fontId="6" fillId="32" borderId="11" xfId="0" applyNumberFormat="1" applyFont="1" applyFill="1" applyBorder="1" applyAlignment="1">
      <alignment vertical="center"/>
    </xf>
    <xf numFmtId="165" fontId="6" fillId="32" borderId="31" xfId="0" applyNumberFormat="1" applyFont="1" applyFill="1" applyBorder="1" applyAlignment="1">
      <alignment vertical="center"/>
    </xf>
    <xf numFmtId="165" fontId="3" fillId="11" borderId="16" xfId="0" applyNumberFormat="1" applyFont="1" applyFill="1" applyBorder="1" applyAlignment="1" applyProtection="1">
      <alignment vertical="center"/>
      <protection/>
    </xf>
    <xf numFmtId="165" fontId="3" fillId="11" borderId="29" xfId="0" applyNumberFormat="1" applyFont="1" applyFill="1" applyBorder="1" applyAlignment="1" applyProtection="1">
      <alignment vertical="center"/>
      <protection/>
    </xf>
    <xf numFmtId="165" fontId="72" fillId="8" borderId="29" xfId="0" applyNumberFormat="1" applyFont="1" applyFill="1" applyBorder="1" applyAlignment="1" applyProtection="1">
      <alignment vertical="center"/>
      <protection/>
    </xf>
    <xf numFmtId="165" fontId="72" fillId="0" borderId="29" xfId="0" applyNumberFormat="1" applyFont="1" applyFill="1" applyBorder="1" applyAlignment="1" applyProtection="1">
      <alignment vertical="center"/>
      <protection/>
    </xf>
    <xf numFmtId="165" fontId="72" fillId="20" borderId="13" xfId="0" applyNumberFormat="1" applyFont="1" applyFill="1" applyBorder="1" applyAlignment="1" applyProtection="1">
      <alignment vertical="center"/>
      <protection/>
    </xf>
    <xf numFmtId="164" fontId="72" fillId="0" borderId="0" xfId="57" applyFont="1" applyFill="1" applyBorder="1" applyAlignment="1">
      <alignment horizontal="right" vertical="center"/>
      <protection/>
    </xf>
    <xf numFmtId="164" fontId="72" fillId="0" borderId="0" xfId="0" applyFont="1" applyFill="1" applyBorder="1" applyAlignment="1">
      <alignment horizontal="right" vertical="center" indent="1"/>
    </xf>
    <xf numFmtId="164" fontId="74" fillId="0" borderId="0" xfId="0" applyFont="1" applyFill="1" applyBorder="1" applyAlignment="1">
      <alignment horizontal="center" vertical="center"/>
    </xf>
    <xf numFmtId="165" fontId="72" fillId="11" borderId="13" xfId="0" applyNumberFormat="1" applyFont="1" applyFill="1" applyBorder="1" applyAlignment="1" applyProtection="1">
      <alignment vertical="center"/>
      <protection/>
    </xf>
    <xf numFmtId="165" fontId="72" fillId="0" borderId="16" xfId="0" applyNumberFormat="1" applyFont="1" applyFill="1" applyBorder="1" applyAlignment="1" applyProtection="1">
      <alignment vertical="center"/>
      <protection/>
    </xf>
    <xf numFmtId="164" fontId="72" fillId="0" borderId="0" xfId="0" applyFont="1" applyFill="1" applyBorder="1" applyAlignment="1">
      <alignment horizontal="center" vertical="center"/>
    </xf>
    <xf numFmtId="164" fontId="72" fillId="0" borderId="0" xfId="0" applyFont="1" applyFill="1" applyBorder="1" applyAlignment="1">
      <alignment horizontal="right" vertical="center"/>
    </xf>
    <xf numFmtId="165" fontId="72" fillId="19" borderId="16" xfId="0" applyNumberFormat="1" applyFont="1" applyFill="1" applyBorder="1" applyAlignment="1" applyProtection="1">
      <alignment vertical="center"/>
      <protection/>
    </xf>
    <xf numFmtId="165" fontId="72" fillId="19" borderId="29" xfId="0" applyNumberFormat="1" applyFont="1" applyFill="1" applyBorder="1" applyAlignment="1" applyProtection="1">
      <alignment vertical="center"/>
      <protection/>
    </xf>
    <xf numFmtId="164" fontId="74" fillId="0" borderId="0" xfId="0" applyFont="1" applyFill="1" applyBorder="1" applyAlignment="1" quotePrefix="1">
      <alignment horizontal="center"/>
    </xf>
    <xf numFmtId="165" fontId="72" fillId="30" borderId="13" xfId="0" applyNumberFormat="1" applyFont="1" applyFill="1" applyBorder="1" applyAlignment="1" applyProtection="1">
      <alignment vertical="center"/>
      <protection/>
    </xf>
    <xf numFmtId="165" fontId="72" fillId="8" borderId="16" xfId="0" applyNumberFormat="1" applyFont="1" applyFill="1" applyBorder="1" applyAlignment="1" applyProtection="1">
      <alignment vertical="center"/>
      <protection/>
    </xf>
    <xf numFmtId="164" fontId="72" fillId="0" borderId="0" xfId="57" applyFont="1" applyFill="1" applyBorder="1" applyAlignment="1">
      <alignment horizontal="right" vertical="center" indent="1"/>
      <protection/>
    </xf>
    <xf numFmtId="164" fontId="72" fillId="0" borderId="0" xfId="57" applyFont="1" applyFill="1" applyBorder="1" applyAlignment="1" quotePrefix="1">
      <alignment horizontal="right" indent="1"/>
      <protection/>
    </xf>
    <xf numFmtId="164" fontId="72" fillId="0" borderId="0" xfId="60" applyFont="1" applyFill="1" applyBorder="1" applyAlignment="1">
      <alignment horizontal="right" indent="1"/>
      <protection/>
    </xf>
    <xf numFmtId="165" fontId="72" fillId="0" borderId="32" xfId="0" applyNumberFormat="1" applyFont="1" applyFill="1" applyBorder="1" applyAlignment="1" applyProtection="1">
      <alignment vertical="center"/>
      <protection/>
    </xf>
    <xf numFmtId="165" fontId="72" fillId="0" borderId="10" xfId="0" applyNumberFormat="1" applyFont="1" applyFill="1" applyBorder="1" applyAlignment="1">
      <alignment vertical="center"/>
    </xf>
    <xf numFmtId="164" fontId="72" fillId="0" borderId="0" xfId="0" applyFont="1" applyFill="1" applyBorder="1" applyAlignment="1">
      <alignment vertical="center"/>
    </xf>
    <xf numFmtId="165" fontId="72" fillId="20" borderId="10" xfId="0" applyNumberFormat="1" applyFont="1" applyFill="1" applyBorder="1" applyAlignment="1">
      <alignment vertical="center"/>
    </xf>
    <xf numFmtId="165" fontId="72" fillId="0" borderId="11" xfId="0" applyNumberFormat="1" applyFont="1" applyFill="1" applyBorder="1" applyAlignment="1">
      <alignment vertical="center"/>
    </xf>
    <xf numFmtId="165" fontId="72" fillId="0" borderId="12" xfId="0" applyNumberFormat="1" applyFont="1" applyFill="1" applyBorder="1" applyAlignment="1">
      <alignment vertical="center"/>
    </xf>
    <xf numFmtId="165" fontId="72" fillId="20" borderId="15" xfId="0" applyNumberFormat="1" applyFont="1" applyFill="1" applyBorder="1" applyAlignment="1" applyProtection="1">
      <alignment vertical="center"/>
      <protection/>
    </xf>
    <xf numFmtId="165" fontId="72" fillId="20" borderId="14" xfId="0" applyNumberFormat="1" applyFont="1" applyFill="1" applyBorder="1" applyAlignment="1" applyProtection="1">
      <alignment vertical="center"/>
      <protection/>
    </xf>
    <xf numFmtId="165" fontId="72" fillId="20" borderId="16" xfId="0" applyNumberFormat="1" applyFont="1" applyFill="1" applyBorder="1" applyAlignment="1" applyProtection="1">
      <alignment vertical="center"/>
      <protection/>
    </xf>
    <xf numFmtId="165" fontId="72" fillId="0" borderId="17" xfId="0" applyNumberFormat="1" applyFont="1" applyFill="1" applyBorder="1" applyAlignment="1" applyProtection="1">
      <alignment vertical="center"/>
      <protection/>
    </xf>
    <xf numFmtId="165" fontId="72" fillId="0" borderId="18" xfId="0" applyNumberFormat="1" applyFont="1" applyFill="1" applyBorder="1" applyAlignment="1" applyProtection="1">
      <alignment vertical="center"/>
      <protection/>
    </xf>
    <xf numFmtId="165" fontId="72" fillId="20" borderId="20" xfId="0" applyNumberFormat="1" applyFont="1" applyFill="1" applyBorder="1" applyAlignment="1" applyProtection="1">
      <alignment vertical="center"/>
      <protection/>
    </xf>
    <xf numFmtId="165" fontId="72" fillId="0" borderId="21" xfId="0" applyNumberFormat="1" applyFont="1" applyFill="1" applyBorder="1" applyAlignment="1" applyProtection="1">
      <alignment vertical="center"/>
      <protection/>
    </xf>
    <xf numFmtId="165" fontId="72" fillId="0" borderId="22" xfId="0" applyNumberFormat="1" applyFont="1" applyFill="1" applyBorder="1" applyAlignment="1" applyProtection="1">
      <alignment vertical="center"/>
      <protection/>
    </xf>
    <xf numFmtId="165" fontId="72" fillId="20" borderId="23" xfId="0" applyNumberFormat="1" applyFont="1" applyFill="1" applyBorder="1" applyAlignment="1" applyProtection="1">
      <alignment vertical="center"/>
      <protection/>
    </xf>
    <xf numFmtId="165" fontId="72" fillId="0" borderId="24" xfId="0" applyNumberFormat="1" applyFont="1" applyFill="1" applyBorder="1" applyAlignment="1" applyProtection="1">
      <alignment vertical="center"/>
      <protection/>
    </xf>
    <xf numFmtId="165" fontId="72" fillId="0" borderId="25" xfId="0" applyNumberFormat="1" applyFont="1" applyFill="1" applyBorder="1" applyAlignment="1" applyProtection="1">
      <alignment vertical="center"/>
      <protection/>
    </xf>
    <xf numFmtId="165" fontId="72" fillId="0" borderId="19" xfId="0" applyNumberFormat="1" applyFont="1" applyFill="1" applyBorder="1" applyAlignment="1" applyProtection="1">
      <alignment vertical="center"/>
      <protection/>
    </xf>
    <xf numFmtId="164" fontId="72" fillId="0" borderId="0" xfId="61" applyFont="1" applyFill="1" applyBorder="1" applyAlignment="1">
      <alignment horizontal="right" vertical="center"/>
      <protection/>
    </xf>
    <xf numFmtId="164" fontId="74" fillId="0" borderId="0" xfId="0" applyFont="1" applyFill="1" applyBorder="1" applyAlignment="1">
      <alignment horizontal="center"/>
    </xf>
    <xf numFmtId="164" fontId="72" fillId="0" borderId="0" xfId="59" applyFont="1" applyFill="1" applyBorder="1" applyAlignment="1">
      <alignment horizontal="center" vertical="center"/>
      <protection/>
    </xf>
    <xf numFmtId="164" fontId="72" fillId="0" borderId="0" xfId="61" applyFont="1" applyFill="1" applyBorder="1" applyAlignment="1" quotePrefix="1">
      <alignment horizontal="left" vertical="center"/>
      <protection/>
    </xf>
    <xf numFmtId="164" fontId="75" fillId="0" borderId="0" xfId="61" applyFont="1" applyAlignment="1">
      <alignment horizontal="center"/>
      <protection/>
    </xf>
    <xf numFmtId="164" fontId="76" fillId="0" borderId="0" xfId="61" applyFont="1" applyFill="1" applyBorder="1" applyAlignment="1" quotePrefix="1">
      <alignment horizontal="right" indent="2"/>
      <protection/>
    </xf>
    <xf numFmtId="164" fontId="72" fillId="0" borderId="0" xfId="0" applyFont="1" applyFill="1" applyBorder="1" applyAlignment="1">
      <alignment horizontal="center"/>
    </xf>
    <xf numFmtId="165" fontId="72" fillId="0" borderId="26" xfId="0" applyNumberFormat="1" applyFont="1" applyFill="1" applyBorder="1" applyAlignment="1" applyProtection="1">
      <alignment vertical="center"/>
      <protection/>
    </xf>
    <xf numFmtId="165" fontId="72" fillId="0" borderId="31" xfId="0" applyNumberFormat="1" applyFont="1" applyFill="1" applyBorder="1" applyAlignment="1">
      <alignment vertical="center"/>
    </xf>
    <xf numFmtId="166" fontId="77" fillId="20" borderId="13" xfId="0" applyNumberFormat="1" applyFont="1" applyFill="1" applyBorder="1" applyAlignment="1" applyProtection="1">
      <alignment vertical="center"/>
      <protection/>
    </xf>
    <xf numFmtId="165" fontId="45" fillId="0" borderId="0" xfId="0" applyNumberFormat="1" applyFont="1" applyFill="1" applyBorder="1" applyAlignment="1" applyProtection="1">
      <alignment horizontal="left" vertical="center"/>
      <protection/>
    </xf>
    <xf numFmtId="164" fontId="57" fillId="0" borderId="0" xfId="0" applyFont="1" applyAlignment="1">
      <alignment/>
    </xf>
    <xf numFmtId="166" fontId="4" fillId="20" borderId="37" xfId="0" applyNumberFormat="1" applyFont="1" applyFill="1" applyBorder="1" applyAlignment="1" applyProtection="1">
      <alignment vertical="center"/>
      <protection/>
    </xf>
    <xf numFmtId="164" fontId="78" fillId="0" borderId="0" xfId="0" applyFont="1" applyFill="1" applyBorder="1" applyAlignment="1">
      <alignment horizontal="center" vertical="center"/>
    </xf>
    <xf numFmtId="164" fontId="79" fillId="0" borderId="0" xfId="0" applyFont="1" applyFill="1" applyBorder="1" applyAlignment="1">
      <alignment horizontal="center" vertical="center"/>
    </xf>
    <xf numFmtId="166" fontId="6" fillId="20" borderId="10" xfId="0" applyNumberFormat="1" applyFont="1" applyFill="1" applyBorder="1" applyAlignment="1">
      <alignment vertical="center"/>
    </xf>
    <xf numFmtId="165" fontId="3" fillId="28" borderId="16" xfId="0" applyNumberFormat="1" applyFont="1" applyFill="1" applyBorder="1" applyAlignment="1" applyProtection="1">
      <alignment vertical="center"/>
      <protection/>
    </xf>
    <xf numFmtId="165" fontId="3" fillId="28" borderId="20" xfId="0" applyNumberFormat="1" applyFont="1" applyFill="1" applyBorder="1" applyAlignment="1" applyProtection="1">
      <alignment vertical="center"/>
      <protection/>
    </xf>
    <xf numFmtId="165" fontId="3" fillId="28" borderId="23" xfId="0" applyNumberFormat="1" applyFont="1" applyFill="1" applyBorder="1" applyAlignment="1" applyProtection="1">
      <alignment vertical="center"/>
      <protection/>
    </xf>
    <xf numFmtId="166" fontId="21" fillId="20" borderId="15" xfId="0" applyNumberFormat="1" applyFont="1" applyFill="1" applyBorder="1" applyAlignment="1" applyProtection="1">
      <alignment vertical="center"/>
      <protection/>
    </xf>
    <xf numFmtId="166" fontId="21" fillId="20" borderId="14" xfId="0" applyNumberFormat="1" applyFont="1" applyFill="1" applyBorder="1" applyAlignment="1" applyProtection="1">
      <alignment vertical="center"/>
      <protection/>
    </xf>
    <xf numFmtId="166" fontId="21" fillId="0" borderId="26" xfId="0" applyNumberFormat="1" applyFont="1" applyFill="1" applyBorder="1" applyAlignment="1" applyProtection="1">
      <alignment vertical="center"/>
      <protection/>
    </xf>
    <xf numFmtId="164" fontId="6" fillId="0" borderId="0" xfId="58" applyFont="1" applyFill="1" applyBorder="1" applyAlignment="1">
      <alignment horizontal="right" vertical="center"/>
      <protection/>
    </xf>
    <xf numFmtId="165" fontId="72" fillId="0" borderId="10" xfId="0" applyNumberFormat="1" applyFont="1" applyFill="1" applyBorder="1" applyAlignment="1" applyProtection="1">
      <alignment vertical="center"/>
      <protection/>
    </xf>
    <xf numFmtId="165" fontId="72" fillId="25" borderId="13" xfId="0" applyNumberFormat="1" applyFont="1" applyFill="1" applyBorder="1" applyAlignment="1" applyProtection="1">
      <alignment vertical="center"/>
      <protection/>
    </xf>
    <xf numFmtId="165" fontId="14" fillId="22" borderId="13" xfId="0" applyNumberFormat="1" applyFont="1" applyFill="1" applyBorder="1" applyAlignment="1" applyProtection="1">
      <alignment vertical="center"/>
      <protection/>
    </xf>
    <xf numFmtId="164" fontId="6" fillId="0" borderId="0" xfId="58" applyFont="1" applyFill="1" applyBorder="1" applyAlignment="1">
      <alignment horizontal="center" vertical="center"/>
      <protection/>
    </xf>
    <xf numFmtId="166" fontId="4" fillId="0" borderId="32" xfId="0" applyNumberFormat="1" applyFont="1" applyFill="1" applyBorder="1" applyAlignment="1" applyProtection="1">
      <alignment vertical="center"/>
      <protection/>
    </xf>
    <xf numFmtId="164" fontId="27" fillId="0" borderId="0" xfId="0" applyFont="1" applyFill="1" applyBorder="1" applyAlignment="1">
      <alignment horizontal="center"/>
    </xf>
    <xf numFmtId="165" fontId="6" fillId="30" borderId="16" xfId="0" applyNumberFormat="1" applyFont="1" applyFill="1" applyBorder="1" applyAlignment="1" applyProtection="1">
      <alignment vertical="center"/>
      <protection/>
    </xf>
    <xf numFmtId="165" fontId="6" fillId="30" borderId="37" xfId="0" applyNumberFormat="1" applyFont="1" applyFill="1" applyBorder="1" applyAlignment="1" applyProtection="1">
      <alignment vertical="center"/>
      <protection/>
    </xf>
    <xf numFmtId="165" fontId="6" fillId="28" borderId="15" xfId="0" applyNumberFormat="1" applyFont="1" applyFill="1" applyBorder="1" applyAlignment="1" applyProtection="1">
      <alignment vertical="center"/>
      <protection/>
    </xf>
    <xf numFmtId="165" fontId="6" fillId="27" borderId="13" xfId="0" applyNumberFormat="1" applyFont="1" applyFill="1" applyBorder="1" applyAlignment="1" applyProtection="1">
      <alignment vertical="center"/>
      <protection/>
    </xf>
    <xf numFmtId="164" fontId="80" fillId="0" borderId="0" xfId="0" applyFont="1" applyFill="1" applyBorder="1" applyAlignment="1">
      <alignment horizontal="center"/>
    </xf>
    <xf numFmtId="164" fontId="81" fillId="0" borderId="0" xfId="0" applyFont="1" applyFill="1" applyBorder="1" applyAlignment="1">
      <alignment horizontal="center"/>
    </xf>
    <xf numFmtId="164" fontId="22" fillId="0" borderId="0" xfId="0" applyFont="1" applyFill="1" applyBorder="1" applyAlignment="1" quotePrefix="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1 DT" xfId="55"/>
    <cellStyle name="Normal_1 DT_1" xfId="56"/>
    <cellStyle name="Normal_1 DT_1 DT" xfId="57"/>
    <cellStyle name="Normal_1 DT_1 DT_1 DT" xfId="58"/>
    <cellStyle name="Normal_1 DT_1 DT_2" xfId="59"/>
    <cellStyle name="Normal_1 DT_1_Econ 1" xfId="60"/>
    <cellStyle name="Normal_1 DT_2" xfId="61"/>
    <cellStyle name="Normal_1 DT_Econ 1" xfId="62"/>
    <cellStyle name="Normal_X3X3" xfId="63"/>
    <cellStyle name="Note"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3E3E3"/>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825"/>
          <c:w val="0.7995"/>
          <c:h val="0.952"/>
        </c:manualLayout>
      </c:layout>
      <c:lineChart>
        <c:grouping val="standard"/>
        <c:varyColors val="0"/>
        <c:ser>
          <c:idx val="0"/>
          <c:order val="0"/>
          <c:tx>
            <c:strRef>
              <c:f>Series!$M$7</c:f>
              <c:strCache>
                <c:ptCount val="1"/>
                <c:pt idx="0">
                  <c:v>VMPL</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Series!$C$8:$C$38</c:f>
              <c:numCache>
                <c:ptCount val="31"/>
                <c:pt idx="0">
                  <c:v>0</c:v>
                </c:pt>
                <c:pt idx="1">
                  <c:v>1.009999394416809</c:v>
                </c:pt>
                <c:pt idx="2">
                  <c:v>2.019998550415039</c:v>
                </c:pt>
                <c:pt idx="3">
                  <c:v>3.0299975872039795</c:v>
                </c:pt>
                <c:pt idx="4">
                  <c:v>4.039997577667236</c:v>
                </c:pt>
                <c:pt idx="5">
                  <c:v>5.050020694732666</c:v>
                </c:pt>
                <c:pt idx="6">
                  <c:v>6.060043811798096</c:v>
                </c:pt>
                <c:pt idx="7">
                  <c:v>7.070066928863525</c:v>
                </c:pt>
                <c:pt idx="8">
                  <c:v>8.080089569091797</c:v>
                </c:pt>
                <c:pt idx="9">
                  <c:v>9.090112686157227</c:v>
                </c:pt>
                <c:pt idx="10">
                  <c:v>10.100135803222656</c:v>
                </c:pt>
                <c:pt idx="11">
                  <c:v>11.110158920288086</c:v>
                </c:pt>
                <c:pt idx="12">
                  <c:v>12.120182037353516</c:v>
                </c:pt>
                <c:pt idx="13">
                  <c:v>13.130205154418945</c:v>
                </c:pt>
                <c:pt idx="14">
                  <c:v>14.140228271484375</c:v>
                </c:pt>
                <c:pt idx="15">
                  <c:v>15.150251388549805</c:v>
                </c:pt>
                <c:pt idx="16">
                  <c:v>16.160274505615234</c:v>
                </c:pt>
                <c:pt idx="17">
                  <c:v>17.170297622680664</c:v>
                </c:pt>
                <c:pt idx="18">
                  <c:v>18.180320739746094</c:v>
                </c:pt>
                <c:pt idx="19">
                  <c:v>19.190343856811523</c:v>
                </c:pt>
                <c:pt idx="20">
                  <c:v>20.200366973876953</c:v>
                </c:pt>
                <c:pt idx="21">
                  <c:v>21.210390090942383</c:v>
                </c:pt>
                <c:pt idx="22">
                  <c:v>22.220413208007812</c:v>
                </c:pt>
                <c:pt idx="23">
                  <c:v>23.230436325073242</c:v>
                </c:pt>
                <c:pt idx="24">
                  <c:v>24.240459442138672</c:v>
                </c:pt>
                <c:pt idx="25">
                  <c:v>25.2504825592041</c:v>
                </c:pt>
                <c:pt idx="26">
                  <c:v>26.26050567626953</c:v>
                </c:pt>
                <c:pt idx="27">
                  <c:v>27.27052879333496</c:v>
                </c:pt>
                <c:pt idx="28">
                  <c:v>28.28055191040039</c:v>
                </c:pt>
                <c:pt idx="29">
                  <c:v>29.29057502746582</c:v>
                </c:pt>
                <c:pt idx="30">
                  <c:v>30.000591278076172</c:v>
                </c:pt>
              </c:numCache>
            </c:numRef>
          </c:cat>
          <c:val>
            <c:numRef>
              <c:f>Series!$M$8:$M$38</c:f>
              <c:numCache>
                <c:ptCount val="31"/>
                <c:pt idx="0">
                  <c:v>117.94755200822696</c:v>
                </c:pt>
                <c:pt idx="1">
                  <c:v>89.34312866588041</c:v>
                </c:pt>
                <c:pt idx="2">
                  <c:v>96.51701063537028</c:v>
                </c:pt>
                <c:pt idx="3">
                  <c:v>102.25751332456285</c:v>
                </c:pt>
                <c:pt idx="4">
                  <c:v>105.74256496538555</c:v>
                </c:pt>
                <c:pt idx="5">
                  <c:v>108.13169677848894</c:v>
                </c:pt>
                <c:pt idx="6">
                  <c:v>109.73709939590532</c:v>
                </c:pt>
                <c:pt idx="7">
                  <c:v>110.81047566542749</c:v>
                </c:pt>
                <c:pt idx="8">
                  <c:v>111.56262598510392</c:v>
                </c:pt>
                <c:pt idx="9">
                  <c:v>112.12417025247606</c:v>
                </c:pt>
                <c:pt idx="10">
                  <c:v>112.55869897159963</c:v>
                </c:pt>
                <c:pt idx="11">
                  <c:v>112.89510483517532</c:v>
                </c:pt>
                <c:pt idx="12">
                  <c:v>113.15056747560618</c:v>
                </c:pt>
                <c:pt idx="13">
                  <c:v>113.33983535078302</c:v>
                </c:pt>
                <c:pt idx="14">
                  <c:v>113.47678365984956</c:v>
                </c:pt>
                <c:pt idx="15">
                  <c:v>113.57371725518405</c:v>
                </c:pt>
                <c:pt idx="16">
                  <c:v>113.64080415563095</c:v>
                </c:pt>
                <c:pt idx="17">
                  <c:v>113.68604885858238</c:v>
                </c:pt>
                <c:pt idx="18">
                  <c:v>113.71557642457128</c:v>
                </c:pt>
                <c:pt idx="19">
                  <c:v>113.73399308252321</c:v>
                </c:pt>
                <c:pt idx="20">
                  <c:v>113.74471467985045</c:v>
                </c:pt>
                <c:pt idx="21">
                  <c:v>113.75023716000395</c:v>
                </c:pt>
                <c:pt idx="22">
                  <c:v>113.7523535940824</c:v>
                </c:pt>
                <c:pt idx="23">
                  <c:v>113.75232725505087</c:v>
                </c:pt>
                <c:pt idx="24">
                  <c:v>113.75102849980377</c:v>
                </c:pt>
                <c:pt idx="25">
                  <c:v>113.74904149335389</c:v>
                </c:pt>
                <c:pt idx="26">
                  <c:v>113.74674595226807</c:v>
                </c:pt>
                <c:pt idx="27">
                  <c:v>113.7443785898867</c:v>
                </c:pt>
                <c:pt idx="28">
                  <c:v>113.74207844446778</c:v>
                </c:pt>
                <c:pt idx="29">
                  <c:v>113.73991968886467</c:v>
                </c:pt>
                <c:pt idx="30">
                  <c:v>113.73852479922529</c:v>
                </c:pt>
              </c:numCache>
            </c:numRef>
          </c:val>
          <c:smooth val="1"/>
        </c:ser>
        <c:ser>
          <c:idx val="1"/>
          <c:order val="1"/>
          <c:tx>
            <c:strRef>
              <c:f>Series!$L$7</c:f>
              <c:strCache>
                <c:ptCount val="1"/>
                <c:pt idx="0">
                  <c:v>VMP1</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Series!$C$8:$C$38</c:f>
              <c:numCache>
                <c:ptCount val="31"/>
                <c:pt idx="0">
                  <c:v>0</c:v>
                </c:pt>
                <c:pt idx="1">
                  <c:v>1.009999394416809</c:v>
                </c:pt>
                <c:pt idx="2">
                  <c:v>2.019998550415039</c:v>
                </c:pt>
                <c:pt idx="3">
                  <c:v>3.0299975872039795</c:v>
                </c:pt>
                <c:pt idx="4">
                  <c:v>4.039997577667236</c:v>
                </c:pt>
                <c:pt idx="5">
                  <c:v>5.050020694732666</c:v>
                </c:pt>
                <c:pt idx="6">
                  <c:v>6.060043811798096</c:v>
                </c:pt>
                <c:pt idx="7">
                  <c:v>7.070066928863525</c:v>
                </c:pt>
                <c:pt idx="8">
                  <c:v>8.080089569091797</c:v>
                </c:pt>
                <c:pt idx="9">
                  <c:v>9.090112686157227</c:v>
                </c:pt>
                <c:pt idx="10">
                  <c:v>10.100135803222656</c:v>
                </c:pt>
                <c:pt idx="11">
                  <c:v>11.110158920288086</c:v>
                </c:pt>
                <c:pt idx="12">
                  <c:v>12.120182037353516</c:v>
                </c:pt>
                <c:pt idx="13">
                  <c:v>13.130205154418945</c:v>
                </c:pt>
                <c:pt idx="14">
                  <c:v>14.140228271484375</c:v>
                </c:pt>
                <c:pt idx="15">
                  <c:v>15.150251388549805</c:v>
                </c:pt>
                <c:pt idx="16">
                  <c:v>16.160274505615234</c:v>
                </c:pt>
                <c:pt idx="17">
                  <c:v>17.170297622680664</c:v>
                </c:pt>
                <c:pt idx="18">
                  <c:v>18.180320739746094</c:v>
                </c:pt>
                <c:pt idx="19">
                  <c:v>19.190343856811523</c:v>
                </c:pt>
                <c:pt idx="20">
                  <c:v>20.200366973876953</c:v>
                </c:pt>
                <c:pt idx="21">
                  <c:v>21.210390090942383</c:v>
                </c:pt>
                <c:pt idx="22">
                  <c:v>22.220413208007812</c:v>
                </c:pt>
                <c:pt idx="23">
                  <c:v>23.230436325073242</c:v>
                </c:pt>
                <c:pt idx="24">
                  <c:v>24.240459442138672</c:v>
                </c:pt>
                <c:pt idx="25">
                  <c:v>25.2504825592041</c:v>
                </c:pt>
                <c:pt idx="26">
                  <c:v>26.26050567626953</c:v>
                </c:pt>
                <c:pt idx="27">
                  <c:v>27.27052879333496</c:v>
                </c:pt>
                <c:pt idx="28">
                  <c:v>28.28055191040039</c:v>
                </c:pt>
                <c:pt idx="29">
                  <c:v>29.29057502746582</c:v>
                </c:pt>
                <c:pt idx="30">
                  <c:v>30.000591278076172</c:v>
                </c:pt>
              </c:numCache>
            </c:numRef>
          </c:cat>
          <c:val>
            <c:numRef>
              <c:f>Series!$L$8:$L$38</c:f>
              <c:numCache>
                <c:ptCount val="31"/>
                <c:pt idx="0">
                  <c:v>117.9475520082287</c:v>
                </c:pt>
                <c:pt idx="1">
                  <c:v>86.10016473676494</c:v>
                </c:pt>
                <c:pt idx="2">
                  <c:v>95.77310520446537</c:v>
                </c:pt>
                <c:pt idx="3">
                  <c:v>102.84655106479029</c:v>
                </c:pt>
                <c:pt idx="4">
                  <c:v>106.44171799189739</c:v>
                </c:pt>
                <c:pt idx="5">
                  <c:v>108.5564999312942</c:v>
                </c:pt>
                <c:pt idx="6">
                  <c:v>109.92333290824926</c:v>
                </c:pt>
                <c:pt idx="7">
                  <c:v>110.87373235723759</c:v>
                </c:pt>
                <c:pt idx="8">
                  <c:v>111.57674962501945</c:v>
                </c:pt>
                <c:pt idx="9">
                  <c:v>112.1190238658377</c:v>
                </c:pt>
                <c:pt idx="10">
                  <c:v>112.54368488883243</c:v>
                </c:pt>
                <c:pt idx="11">
                  <c:v>112.87410445787432</c:v>
                </c:pt>
                <c:pt idx="12">
                  <c:v>113.1267415039817</c:v>
                </c:pt>
                <c:pt idx="13">
                  <c:v>113.31598282826157</c:v>
                </c:pt>
                <c:pt idx="14">
                  <c:v>113.45492016218391</c:v>
                </c:pt>
                <c:pt idx="15">
                  <c:v>113.55496745861765</c:v>
                </c:pt>
                <c:pt idx="16">
                  <c:v>113.625579295643</c:v>
                </c:pt>
                <c:pt idx="17">
                  <c:v>113.67429506443212</c:v>
                </c:pt>
                <c:pt idx="18">
                  <c:v>113.70697910148112</c:v>
                </c:pt>
                <c:pt idx="19">
                  <c:v>113.72811496217226</c:v>
                </c:pt>
                <c:pt idx="20">
                  <c:v>113.74108136980813</c:v>
                </c:pt>
                <c:pt idx="21">
                  <c:v>113.74838792473372</c:v>
                </c:pt>
                <c:pt idx="22">
                  <c:v>113.75186989022171</c:v>
                </c:pt>
                <c:pt idx="23">
                  <c:v>113.75284675612741</c:v>
                </c:pt>
                <c:pt idx="24">
                  <c:v>113.75224956324745</c:v>
                </c:pt>
                <c:pt idx="25">
                  <c:v>113.75072151789588</c:v>
                </c:pt>
                <c:pt idx="26">
                  <c:v>113.74869612723691</c:v>
                </c:pt>
                <c:pt idx="27">
                  <c:v>113.74645682674512</c:v>
                </c:pt>
                <c:pt idx="28">
                  <c:v>113.74418171529341</c:v>
                </c:pt>
                <c:pt idx="29">
                  <c:v>113.7419765573645</c:v>
                </c:pt>
                <c:pt idx="30">
                  <c:v>113.74052089428147</c:v>
                </c:pt>
              </c:numCache>
            </c:numRef>
          </c:val>
          <c:smooth val="1"/>
        </c:ser>
        <c:ser>
          <c:idx val="2"/>
          <c:order val="2"/>
          <c:tx>
            <c:strRef>
              <c:f>Series!$K$7</c:f>
              <c:strCache>
                <c:ptCount val="1"/>
                <c:pt idx="0">
                  <c:v>MC2</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Series!$C$8:$C$38</c:f>
              <c:numCache>
                <c:ptCount val="31"/>
                <c:pt idx="0">
                  <c:v>0</c:v>
                </c:pt>
                <c:pt idx="1">
                  <c:v>1.009999394416809</c:v>
                </c:pt>
                <c:pt idx="2">
                  <c:v>2.019998550415039</c:v>
                </c:pt>
                <c:pt idx="3">
                  <c:v>3.0299975872039795</c:v>
                </c:pt>
                <c:pt idx="4">
                  <c:v>4.039997577667236</c:v>
                </c:pt>
                <c:pt idx="5">
                  <c:v>5.050020694732666</c:v>
                </c:pt>
                <c:pt idx="6">
                  <c:v>6.060043811798096</c:v>
                </c:pt>
                <c:pt idx="7">
                  <c:v>7.070066928863525</c:v>
                </c:pt>
                <c:pt idx="8">
                  <c:v>8.080089569091797</c:v>
                </c:pt>
                <c:pt idx="9">
                  <c:v>9.090112686157227</c:v>
                </c:pt>
                <c:pt idx="10">
                  <c:v>10.100135803222656</c:v>
                </c:pt>
                <c:pt idx="11">
                  <c:v>11.110158920288086</c:v>
                </c:pt>
                <c:pt idx="12">
                  <c:v>12.120182037353516</c:v>
                </c:pt>
                <c:pt idx="13">
                  <c:v>13.130205154418945</c:v>
                </c:pt>
                <c:pt idx="14">
                  <c:v>14.140228271484375</c:v>
                </c:pt>
                <c:pt idx="15">
                  <c:v>15.150251388549805</c:v>
                </c:pt>
                <c:pt idx="16">
                  <c:v>16.160274505615234</c:v>
                </c:pt>
                <c:pt idx="17">
                  <c:v>17.170297622680664</c:v>
                </c:pt>
                <c:pt idx="18">
                  <c:v>18.180320739746094</c:v>
                </c:pt>
                <c:pt idx="19">
                  <c:v>19.190343856811523</c:v>
                </c:pt>
                <c:pt idx="20">
                  <c:v>20.200366973876953</c:v>
                </c:pt>
                <c:pt idx="21">
                  <c:v>21.210390090942383</c:v>
                </c:pt>
                <c:pt idx="22">
                  <c:v>22.220413208007812</c:v>
                </c:pt>
                <c:pt idx="23">
                  <c:v>23.230436325073242</c:v>
                </c:pt>
                <c:pt idx="24">
                  <c:v>24.240459442138672</c:v>
                </c:pt>
                <c:pt idx="25">
                  <c:v>25.2504825592041</c:v>
                </c:pt>
                <c:pt idx="26">
                  <c:v>26.26050567626953</c:v>
                </c:pt>
                <c:pt idx="27">
                  <c:v>27.27052879333496</c:v>
                </c:pt>
                <c:pt idx="28">
                  <c:v>28.28055191040039</c:v>
                </c:pt>
                <c:pt idx="29">
                  <c:v>29.29057502746582</c:v>
                </c:pt>
                <c:pt idx="30">
                  <c:v>30.000591278076172</c:v>
                </c:pt>
              </c:numCache>
            </c:numRef>
          </c:cat>
          <c:val>
            <c:numRef>
              <c:f>Series!$K$8:$K$38</c:f>
              <c:numCache>
                <c:ptCount val="31"/>
                <c:pt idx="0">
                  <c:v>115.7818666180473</c:v>
                </c:pt>
                <c:pt idx="1">
                  <c:v>85.6043371255378</c:v>
                </c:pt>
                <c:pt idx="2">
                  <c:v>95.90264804922712</c:v>
                </c:pt>
                <c:pt idx="3">
                  <c:v>102.98109309575872</c:v>
                </c:pt>
                <c:pt idx="4">
                  <c:v>106.5561325606788</c:v>
                </c:pt>
                <c:pt idx="5">
                  <c:v>108.6475478078353</c:v>
                </c:pt>
                <c:pt idx="6">
                  <c:v>109.99142029488347</c:v>
                </c:pt>
                <c:pt idx="7">
                  <c:v>110.9209604509988</c:v>
                </c:pt>
                <c:pt idx="8">
                  <c:v>111.60624868182762</c:v>
                </c:pt>
                <c:pt idx="9">
                  <c:v>112.13442901890501</c:v>
                </c:pt>
                <c:pt idx="10">
                  <c:v>112.54854397460905</c:v>
                </c:pt>
                <c:pt idx="11">
                  <c:v>112.87148889168034</c:v>
                </c:pt>
                <c:pt idx="12">
                  <c:v>113.11910945269658</c:v>
                </c:pt>
                <c:pt idx="13">
                  <c:v>113.30520399163225</c:v>
                </c:pt>
                <c:pt idx="14">
                  <c:v>113.44236651780956</c:v>
                </c:pt>
                <c:pt idx="15">
                  <c:v>113.54161501392744</c:v>
                </c:pt>
                <c:pt idx="16">
                  <c:v>113.61209934921193</c:v>
                </c:pt>
                <c:pt idx="17">
                  <c:v>113.66112994795274</c:v>
                </c:pt>
                <c:pt idx="18">
                  <c:v>113.69440301480843</c:v>
                </c:pt>
                <c:pt idx="19">
                  <c:v>113.71628178684128</c:v>
                </c:pt>
                <c:pt idx="20">
                  <c:v>113.73006144871901</c:v>
                </c:pt>
                <c:pt idx="21">
                  <c:v>113.73819570734967</c:v>
                </c:pt>
                <c:pt idx="22">
                  <c:v>113.74248421061124</c:v>
                </c:pt>
                <c:pt idx="23">
                  <c:v>113.74422532643158</c:v>
                </c:pt>
                <c:pt idx="24">
                  <c:v>113.74433903870985</c:v>
                </c:pt>
                <c:pt idx="25">
                  <c:v>113.74346425112257</c:v>
                </c:pt>
                <c:pt idx="26">
                  <c:v>113.74203450422617</c:v>
                </c:pt>
                <c:pt idx="27">
                  <c:v>113.7403358795283</c:v>
                </c:pt>
                <c:pt idx="28">
                  <c:v>113.73855053999567</c:v>
                </c:pt>
                <c:pt idx="29">
                  <c:v>113.73678893162756</c:v>
                </c:pt>
                <c:pt idx="30">
                  <c:v>113.7356160864791</c:v>
                </c:pt>
              </c:numCache>
            </c:numRef>
          </c:val>
          <c:smooth val="1"/>
        </c:ser>
        <c:ser>
          <c:idx val="3"/>
          <c:order val="3"/>
          <c:tx>
            <c:strRef>
              <c:f>Series!$J$7</c:f>
              <c:strCache>
                <c:ptCount val="1"/>
                <c:pt idx="0">
                  <c:v>P2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Series!$C$8:$C$38</c:f>
              <c:numCache>
                <c:ptCount val="31"/>
                <c:pt idx="0">
                  <c:v>0</c:v>
                </c:pt>
                <c:pt idx="1">
                  <c:v>1.009999394416809</c:v>
                </c:pt>
                <c:pt idx="2">
                  <c:v>2.019998550415039</c:v>
                </c:pt>
                <c:pt idx="3">
                  <c:v>3.0299975872039795</c:v>
                </c:pt>
                <c:pt idx="4">
                  <c:v>4.039997577667236</c:v>
                </c:pt>
                <c:pt idx="5">
                  <c:v>5.050020694732666</c:v>
                </c:pt>
                <c:pt idx="6">
                  <c:v>6.060043811798096</c:v>
                </c:pt>
                <c:pt idx="7">
                  <c:v>7.070066928863525</c:v>
                </c:pt>
                <c:pt idx="8">
                  <c:v>8.080089569091797</c:v>
                </c:pt>
                <c:pt idx="9">
                  <c:v>9.090112686157227</c:v>
                </c:pt>
                <c:pt idx="10">
                  <c:v>10.100135803222656</c:v>
                </c:pt>
                <c:pt idx="11">
                  <c:v>11.110158920288086</c:v>
                </c:pt>
                <c:pt idx="12">
                  <c:v>12.120182037353516</c:v>
                </c:pt>
                <c:pt idx="13">
                  <c:v>13.130205154418945</c:v>
                </c:pt>
                <c:pt idx="14">
                  <c:v>14.140228271484375</c:v>
                </c:pt>
                <c:pt idx="15">
                  <c:v>15.150251388549805</c:v>
                </c:pt>
                <c:pt idx="16">
                  <c:v>16.160274505615234</c:v>
                </c:pt>
                <c:pt idx="17">
                  <c:v>17.170297622680664</c:v>
                </c:pt>
                <c:pt idx="18">
                  <c:v>18.180320739746094</c:v>
                </c:pt>
                <c:pt idx="19">
                  <c:v>19.190343856811523</c:v>
                </c:pt>
                <c:pt idx="20">
                  <c:v>20.200366973876953</c:v>
                </c:pt>
                <c:pt idx="21">
                  <c:v>21.210390090942383</c:v>
                </c:pt>
                <c:pt idx="22">
                  <c:v>22.220413208007812</c:v>
                </c:pt>
                <c:pt idx="23">
                  <c:v>23.230436325073242</c:v>
                </c:pt>
                <c:pt idx="24">
                  <c:v>24.240459442138672</c:v>
                </c:pt>
                <c:pt idx="25">
                  <c:v>25.2504825592041</c:v>
                </c:pt>
                <c:pt idx="26">
                  <c:v>26.26050567626953</c:v>
                </c:pt>
                <c:pt idx="27">
                  <c:v>27.27052879333496</c:v>
                </c:pt>
                <c:pt idx="28">
                  <c:v>28.28055191040039</c:v>
                </c:pt>
                <c:pt idx="29">
                  <c:v>29.29057502746582</c:v>
                </c:pt>
                <c:pt idx="30">
                  <c:v>30.000591278076172</c:v>
                </c:pt>
              </c:numCache>
            </c:numRef>
          </c:cat>
          <c:val>
            <c:numRef>
              <c:f>Series!$J$8:$J$38</c:f>
              <c:numCache>
                <c:ptCount val="31"/>
                <c:pt idx="0">
                  <c:v>117.61196655231069</c:v>
                </c:pt>
                <c:pt idx="1">
                  <c:v>85.84276644710098</c:v>
                </c:pt>
                <c:pt idx="2">
                  <c:v>95.80627912037286</c:v>
                </c:pt>
                <c:pt idx="3">
                  <c:v>102.88912717813754</c:v>
                </c:pt>
                <c:pt idx="4">
                  <c:v>106.48390633975004</c:v>
                </c:pt>
                <c:pt idx="5">
                  <c:v>108.59717621255315</c:v>
                </c:pt>
                <c:pt idx="6">
                  <c:v>109.95930379931744</c:v>
                </c:pt>
                <c:pt idx="7">
                  <c:v>110.90267596120061</c:v>
                </c:pt>
                <c:pt idx="8">
                  <c:v>111.59825324689336</c:v>
                </c:pt>
                <c:pt idx="9">
                  <c:v>112.13403777091504</c:v>
                </c:pt>
                <c:pt idx="10">
                  <c:v>112.55364590234412</c:v>
                </c:pt>
                <c:pt idx="11">
                  <c:v>112.88038164178047</c:v>
                </c:pt>
                <c:pt idx="12">
                  <c:v>113.13043560097611</c:v>
                </c:pt>
                <c:pt idx="13">
                  <c:v>113.31791676500394</c:v>
                </c:pt>
                <c:pt idx="14">
                  <c:v>113.45569093438945</c:v>
                </c:pt>
                <c:pt idx="15">
                  <c:v>113.55500127577263</c:v>
                </c:pt>
                <c:pt idx="16">
                  <c:v>113.62517520583559</c:v>
                </c:pt>
                <c:pt idx="17">
                  <c:v>113.67365774354258</c:v>
                </c:pt>
                <c:pt idx="18">
                  <c:v>113.70624388337401</c:v>
                </c:pt>
                <c:pt idx="19">
                  <c:v>113.72736720254127</c:v>
                </c:pt>
                <c:pt idx="20">
                  <c:v>113.74037132725337</c:v>
                </c:pt>
                <c:pt idx="21">
                  <c:v>113.74774196929063</c:v>
                </c:pt>
                <c:pt idx="22">
                  <c:v>113.75129873760963</c:v>
                </c:pt>
                <c:pt idx="23">
                  <c:v>113.75235136154882</c:v>
                </c:pt>
                <c:pt idx="24">
                  <c:v>113.75182522634847</c:v>
                </c:pt>
                <c:pt idx="25">
                  <c:v>113.75036065467968</c:v>
                </c:pt>
                <c:pt idx="26">
                  <c:v>113.74839007109597</c:v>
                </c:pt>
                <c:pt idx="27">
                  <c:v>113.74619693869438</c:v>
                </c:pt>
                <c:pt idx="28">
                  <c:v>113.74396001539478</c:v>
                </c:pt>
                <c:pt idx="29">
                  <c:v>113.74178603466846</c:v>
                </c:pt>
                <c:pt idx="30">
                  <c:v>113.74034843063788</c:v>
                </c:pt>
              </c:numCache>
            </c:numRef>
          </c:val>
          <c:smooth val="1"/>
        </c:ser>
        <c:ser>
          <c:idx val="4"/>
          <c:order val="4"/>
          <c:tx>
            <c:strRef>
              <c:f>Series!$N$7</c:f>
              <c:strCache>
                <c:ptCount val="1"/>
                <c:pt idx="0">
                  <c:v>P*</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Series!$C$8:$C$38</c:f>
              <c:numCache>
                <c:ptCount val="31"/>
                <c:pt idx="0">
                  <c:v>0</c:v>
                </c:pt>
                <c:pt idx="1">
                  <c:v>1.009999394416809</c:v>
                </c:pt>
                <c:pt idx="2">
                  <c:v>2.019998550415039</c:v>
                </c:pt>
                <c:pt idx="3">
                  <c:v>3.0299975872039795</c:v>
                </c:pt>
                <c:pt idx="4">
                  <c:v>4.039997577667236</c:v>
                </c:pt>
                <c:pt idx="5">
                  <c:v>5.050020694732666</c:v>
                </c:pt>
                <c:pt idx="6">
                  <c:v>6.060043811798096</c:v>
                </c:pt>
                <c:pt idx="7">
                  <c:v>7.070066928863525</c:v>
                </c:pt>
                <c:pt idx="8">
                  <c:v>8.080089569091797</c:v>
                </c:pt>
                <c:pt idx="9">
                  <c:v>9.090112686157227</c:v>
                </c:pt>
                <c:pt idx="10">
                  <c:v>10.100135803222656</c:v>
                </c:pt>
                <c:pt idx="11">
                  <c:v>11.110158920288086</c:v>
                </c:pt>
                <c:pt idx="12">
                  <c:v>12.120182037353516</c:v>
                </c:pt>
                <c:pt idx="13">
                  <c:v>13.130205154418945</c:v>
                </c:pt>
                <c:pt idx="14">
                  <c:v>14.140228271484375</c:v>
                </c:pt>
                <c:pt idx="15">
                  <c:v>15.150251388549805</c:v>
                </c:pt>
                <c:pt idx="16">
                  <c:v>16.160274505615234</c:v>
                </c:pt>
                <c:pt idx="17">
                  <c:v>17.170297622680664</c:v>
                </c:pt>
                <c:pt idx="18">
                  <c:v>18.180320739746094</c:v>
                </c:pt>
                <c:pt idx="19">
                  <c:v>19.190343856811523</c:v>
                </c:pt>
                <c:pt idx="20">
                  <c:v>20.200366973876953</c:v>
                </c:pt>
                <c:pt idx="21">
                  <c:v>21.210390090942383</c:v>
                </c:pt>
                <c:pt idx="22">
                  <c:v>22.220413208007812</c:v>
                </c:pt>
                <c:pt idx="23">
                  <c:v>23.230436325073242</c:v>
                </c:pt>
                <c:pt idx="24">
                  <c:v>24.240459442138672</c:v>
                </c:pt>
                <c:pt idx="25">
                  <c:v>25.2504825592041</c:v>
                </c:pt>
                <c:pt idx="26">
                  <c:v>26.26050567626953</c:v>
                </c:pt>
                <c:pt idx="27">
                  <c:v>27.27052879333496</c:v>
                </c:pt>
                <c:pt idx="28">
                  <c:v>28.28055191040039</c:v>
                </c:pt>
                <c:pt idx="29">
                  <c:v>29.29057502746582</c:v>
                </c:pt>
                <c:pt idx="30">
                  <c:v>30.000591278076172</c:v>
                </c:pt>
              </c:numCache>
            </c:numRef>
          </c:cat>
          <c:val>
            <c:numRef>
              <c:f>Series!$N$8:$N$38</c:f>
              <c:numCache>
                <c:ptCount val="31"/>
              </c:numCache>
            </c:numRef>
          </c:val>
          <c:smooth val="1"/>
        </c:ser>
        <c:marker val="1"/>
        <c:axId val="45593167"/>
        <c:axId val="7685320"/>
      </c:lineChart>
      <c:catAx>
        <c:axId val="45593167"/>
        <c:scaling>
          <c:orientation val="minMax"/>
        </c:scaling>
        <c:axPos val="b"/>
        <c:title>
          <c:tx>
            <c:rich>
              <a:bodyPr vert="horz" rot="0" anchor="ctr"/>
              <a:lstStyle/>
              <a:p>
                <a:pPr algn="ctr">
                  <a:defRPr/>
                </a:pPr>
                <a:r>
                  <a:rPr lang="en-US" cap="none" sz="800" b="1" i="0" u="none" baseline="0">
                    <a:solidFill>
                      <a:srgbClr val="000000"/>
                    </a:solidFill>
                  </a:rPr>
                  <a:t>year</a:t>
                </a:r>
              </a:p>
            </c:rich>
          </c:tx>
          <c:layout>
            <c:manualLayout>
              <c:xMode val="factor"/>
              <c:yMode val="factor"/>
              <c:x val="0.0025"/>
              <c:y val="0.11175"/>
            </c:manualLayout>
          </c:layout>
          <c:overlay val="0"/>
          <c:spPr>
            <a:noFill/>
            <a:ln>
              <a:noFill/>
            </a:ln>
          </c:spPr>
        </c:title>
        <c:delete val="0"/>
        <c:numFmt formatCode="0" sourceLinked="0"/>
        <c:majorTickMark val="out"/>
        <c:minorTickMark val="out"/>
        <c:tickLblPos val="nextTo"/>
        <c:spPr>
          <a:ln w="3175">
            <a:solidFill>
              <a:srgbClr val="000000"/>
            </a:solidFill>
          </a:ln>
        </c:spPr>
        <c:txPr>
          <a:bodyPr vert="horz" rot="0"/>
          <a:lstStyle/>
          <a:p>
            <a:pPr>
              <a:defRPr lang="en-US" cap="none" sz="800" b="1" i="0" u="none" baseline="0">
                <a:solidFill>
                  <a:srgbClr val="000000"/>
                </a:solidFill>
              </a:defRPr>
            </a:pPr>
          </a:p>
        </c:txPr>
        <c:crossAx val="7685320"/>
        <c:crossesAt val="90"/>
        <c:auto val="1"/>
        <c:lblOffset val="100"/>
        <c:tickLblSkip val="5"/>
        <c:noMultiLvlLbl val="0"/>
      </c:catAx>
      <c:valAx>
        <c:axId val="7685320"/>
        <c:scaling>
          <c:orientation val="minMax"/>
          <c:max val="130"/>
          <c:min val="90"/>
        </c:scaling>
        <c:axPos val="l"/>
        <c:title>
          <c:tx>
            <c:rich>
              <a:bodyPr vert="horz" rot="-5400000" anchor="ctr"/>
              <a:lstStyle/>
              <a:p>
                <a:pPr algn="ctr">
                  <a:defRPr/>
                </a:pPr>
                <a:r>
                  <a:rPr lang="en-US" cap="none" sz="800" b="1" i="0" u="none" baseline="0">
                    <a:solidFill>
                      <a:srgbClr val="000000"/>
                    </a:solidFill>
                  </a:rPr>
                  <a:t>marginal values of Good #2</a:t>
                </a:r>
              </a:p>
            </c:rich>
          </c:tx>
          <c:layout>
            <c:manualLayout>
              <c:xMode val="factor"/>
              <c:yMode val="factor"/>
              <c:x val="-0.014"/>
              <c:y val="0.009"/>
            </c:manualLayout>
          </c:layout>
          <c:overlay val="0"/>
          <c:spPr>
            <a:noFill/>
            <a:ln>
              <a:noFill/>
            </a:ln>
          </c:spPr>
        </c:title>
        <c:delete val="0"/>
        <c:numFmt formatCode="0" sourceLinked="0"/>
        <c:majorTickMark val="out"/>
        <c:minorTickMark val="out"/>
        <c:tickLblPos val="nextTo"/>
        <c:spPr>
          <a:ln w="3175">
            <a:solidFill>
              <a:srgbClr val="000000"/>
            </a:solidFill>
          </a:ln>
        </c:spPr>
        <c:txPr>
          <a:bodyPr vert="horz" rot="0"/>
          <a:lstStyle/>
          <a:p>
            <a:pPr>
              <a:defRPr lang="en-US" cap="none" sz="800" b="1" i="0" u="none" baseline="0">
                <a:solidFill>
                  <a:srgbClr val="000000"/>
                </a:solidFill>
              </a:defRPr>
            </a:pPr>
          </a:p>
        </c:txPr>
        <c:crossAx val="45593167"/>
        <c:crossesAt val="1"/>
        <c:crossBetween val="midCat"/>
        <c:dispUnits/>
        <c:majorUnit val="10"/>
        <c:minorUnit val="5"/>
      </c:valAx>
      <c:spPr>
        <a:pattFill prst="dotGrid">
          <a:fgClr>
            <a:srgbClr val="808080"/>
          </a:fgClr>
          <a:bgClr>
            <a:srgbClr val="C0C0C0"/>
          </a:bgClr>
        </a:pattFill>
        <a:ln w="3175">
          <a:noFill/>
        </a:ln>
      </c:spPr>
    </c:plotArea>
    <c:legend>
      <c:legendPos val="r"/>
      <c:layout>
        <c:manualLayout>
          <c:xMode val="edge"/>
          <c:yMode val="edge"/>
          <c:x val="0.7975"/>
          <c:y val="0.0915"/>
          <c:w val="0.16075"/>
          <c:h val="0.289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C0C0C0"/>
    </a:solidFill>
    <a:ln w="3175">
      <a:noFill/>
    </a:ln>
  </c:spPr>
  <c:txPr>
    <a:bodyPr vert="horz" rot="0"/>
    <a:lstStyle/>
    <a:p>
      <a:pPr>
        <a:defRPr lang="en-US" cap="none" sz="1000" b="0" i="0" u="none" baseline="0">
          <a:solidFill>
            <a:srgbClr val="000000"/>
          </a:solidFill>
          <a:latin typeface="Courier New"/>
          <a:ea typeface="Courier New"/>
          <a:cs typeface="Courier New"/>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05"/>
          <c:y val="0.0115"/>
          <c:w val="0.856"/>
          <c:h val="0.86525"/>
        </c:manualLayout>
      </c:layout>
      <c:lineChart>
        <c:grouping val="standard"/>
        <c:varyColors val="0"/>
        <c:ser>
          <c:idx val="0"/>
          <c:order val="0"/>
          <c:tx>
            <c:strRef>
              <c:f>Series!$T$15</c:f>
              <c:strCache>
                <c:ptCount val="1"/>
                <c:pt idx="0">
                  <c:v>s</c:v>
                </c:pt>
              </c:strCache>
            </c:strRef>
          </c:tx>
          <c:spPr>
            <a:ln w="3175">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Series!$S$16:$S$36</c:f>
              <c:numCache>
                <c:ptCount val="21"/>
                <c:pt idx="0">
                  <c:v>700</c:v>
                </c:pt>
                <c:pt idx="1">
                  <c:v>710</c:v>
                </c:pt>
                <c:pt idx="2">
                  <c:v>720</c:v>
                </c:pt>
                <c:pt idx="3">
                  <c:v>730</c:v>
                </c:pt>
                <c:pt idx="4">
                  <c:v>740</c:v>
                </c:pt>
                <c:pt idx="5">
                  <c:v>750</c:v>
                </c:pt>
                <c:pt idx="6">
                  <c:v>760</c:v>
                </c:pt>
                <c:pt idx="7">
                  <c:v>770</c:v>
                </c:pt>
                <c:pt idx="8">
                  <c:v>780</c:v>
                </c:pt>
                <c:pt idx="9">
                  <c:v>790</c:v>
                </c:pt>
                <c:pt idx="10">
                  <c:v>800</c:v>
                </c:pt>
                <c:pt idx="11">
                  <c:v>810</c:v>
                </c:pt>
                <c:pt idx="12">
                  <c:v>820</c:v>
                </c:pt>
                <c:pt idx="13">
                  <c:v>830</c:v>
                </c:pt>
                <c:pt idx="14">
                  <c:v>840</c:v>
                </c:pt>
                <c:pt idx="15">
                  <c:v>850</c:v>
                </c:pt>
                <c:pt idx="16">
                  <c:v>860</c:v>
                </c:pt>
                <c:pt idx="17">
                  <c:v>870</c:v>
                </c:pt>
                <c:pt idx="18">
                  <c:v>880</c:v>
                </c:pt>
                <c:pt idx="19">
                  <c:v>890</c:v>
                </c:pt>
                <c:pt idx="20">
                  <c:v>900</c:v>
                </c:pt>
              </c:numCache>
            </c:numRef>
          </c:cat>
          <c:val>
            <c:numRef>
              <c:f>Series!$T$16:$T$36</c:f>
              <c:numCache>
                <c:ptCount val="21"/>
                <c:pt idx="0">
                  <c:v>106.64266640111373</c:v>
                </c:pt>
                <c:pt idx="1">
                  <c:v>106.85665774604999</c:v>
                </c:pt>
                <c:pt idx="2">
                  <c:v>107.07150961651068</c:v>
                </c:pt>
                <c:pt idx="3">
                  <c:v>107.2872272136132</c:v>
                </c:pt>
                <c:pt idx="4">
                  <c:v>107.50381578047451</c:v>
                </c:pt>
                <c:pt idx="5">
                  <c:v>107.72128060263584</c:v>
                </c:pt>
                <c:pt idx="6">
                  <c:v>107.93962700849266</c:v>
                </c:pt>
                <c:pt idx="7">
                  <c:v>108.15886036972996</c:v>
                </c:pt>
                <c:pt idx="8">
                  <c:v>108.37898610176264</c:v>
                </c:pt>
                <c:pt idx="9">
                  <c:v>108.60000966418153</c:v>
                </c:pt>
                <c:pt idx="10">
                  <c:v>108.82193656120467</c:v>
                </c:pt>
                <c:pt idx="11">
                  <c:v>109.04477234213432</c:v>
                </c:pt>
                <c:pt idx="12">
                  <c:v>109.26852260181943</c:v>
                </c:pt>
                <c:pt idx="13">
                  <c:v>109.49319298112391</c:v>
                </c:pt>
                <c:pt idx="14">
                  <c:v>109.71878916740069</c:v>
                </c:pt>
                <c:pt idx="15">
                  <c:v>109.9453168949716</c:v>
                </c:pt>
                <c:pt idx="16">
                  <c:v>110.17278194561325</c:v>
                </c:pt>
                <c:pt idx="17">
                  <c:v>110.401190149049</c:v>
                </c:pt>
                <c:pt idx="18">
                  <c:v>110.63054738344687</c:v>
                </c:pt>
                <c:pt idx="19">
                  <c:v>110.86085957592394</c:v>
                </c:pt>
                <c:pt idx="20">
                  <c:v>111.09213270305683</c:v>
                </c:pt>
              </c:numCache>
            </c:numRef>
          </c:val>
          <c:smooth val="1"/>
        </c:ser>
        <c:ser>
          <c:idx val="1"/>
          <c:order val="1"/>
          <c:tx>
            <c:strRef>
              <c:f>Series!$U$15</c:f>
              <c:strCache>
                <c:ptCount val="1"/>
                <c:pt idx="0">
                  <c:v>d</c:v>
                </c:pt>
              </c:strCache>
            </c:strRef>
          </c:tx>
          <c:spPr>
            <a:ln w="3175">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Series!$S$16:$S$36</c:f>
              <c:numCache>
                <c:ptCount val="21"/>
                <c:pt idx="0">
                  <c:v>700</c:v>
                </c:pt>
                <c:pt idx="1">
                  <c:v>710</c:v>
                </c:pt>
                <c:pt idx="2">
                  <c:v>720</c:v>
                </c:pt>
                <c:pt idx="3">
                  <c:v>730</c:v>
                </c:pt>
                <c:pt idx="4">
                  <c:v>740</c:v>
                </c:pt>
                <c:pt idx="5">
                  <c:v>750</c:v>
                </c:pt>
                <c:pt idx="6">
                  <c:v>760</c:v>
                </c:pt>
                <c:pt idx="7">
                  <c:v>770</c:v>
                </c:pt>
                <c:pt idx="8">
                  <c:v>780</c:v>
                </c:pt>
                <c:pt idx="9">
                  <c:v>790</c:v>
                </c:pt>
                <c:pt idx="10">
                  <c:v>800</c:v>
                </c:pt>
                <c:pt idx="11">
                  <c:v>810</c:v>
                </c:pt>
                <c:pt idx="12">
                  <c:v>820</c:v>
                </c:pt>
                <c:pt idx="13">
                  <c:v>830</c:v>
                </c:pt>
                <c:pt idx="14">
                  <c:v>840</c:v>
                </c:pt>
                <c:pt idx="15">
                  <c:v>850</c:v>
                </c:pt>
                <c:pt idx="16">
                  <c:v>860</c:v>
                </c:pt>
                <c:pt idx="17">
                  <c:v>870</c:v>
                </c:pt>
                <c:pt idx="18">
                  <c:v>880</c:v>
                </c:pt>
                <c:pt idx="19">
                  <c:v>890</c:v>
                </c:pt>
                <c:pt idx="20">
                  <c:v>900</c:v>
                </c:pt>
              </c:numCache>
            </c:numRef>
          </c:cat>
          <c:val>
            <c:numRef>
              <c:f>Series!$U$16:$U$36</c:f>
              <c:numCache>
                <c:ptCount val="21"/>
                <c:pt idx="0">
                  <c:v>108.20083331062207</c:v>
                </c:pt>
                <c:pt idx="1">
                  <c:v>108.10458149387613</c:v>
                </c:pt>
                <c:pt idx="2">
                  <c:v>108.00850076968018</c:v>
                </c:pt>
                <c:pt idx="3">
                  <c:v>107.91259068225065</c:v>
                </c:pt>
                <c:pt idx="4">
                  <c:v>107.81685077742141</c:v>
                </c:pt>
                <c:pt idx="5">
                  <c:v>107.72128060263663</c:v>
                </c:pt>
                <c:pt idx="6">
                  <c:v>107.62587970694368</c:v>
                </c:pt>
                <c:pt idx="7">
                  <c:v>107.53064764098603</c:v>
                </c:pt>
                <c:pt idx="8">
                  <c:v>107.43558395699618</c:v>
                </c:pt>
                <c:pt idx="9">
                  <c:v>107.34068820878863</c:v>
                </c:pt>
                <c:pt idx="10">
                  <c:v>107.24595995175294</c:v>
                </c:pt>
                <c:pt idx="11">
                  <c:v>107.15139874284674</c:v>
                </c:pt>
                <c:pt idx="12">
                  <c:v>107.05700414058884</c:v>
                </c:pt>
                <c:pt idx="13">
                  <c:v>106.96277570505244</c:v>
                </c:pt>
                <c:pt idx="14">
                  <c:v>106.8687129978581</c:v>
                </c:pt>
                <c:pt idx="15">
                  <c:v>106.77481558216716</c:v>
                </c:pt>
                <c:pt idx="16">
                  <c:v>106.68108302267484</c:v>
                </c:pt>
                <c:pt idx="17">
                  <c:v>106.58751488560354</c:v>
                </c:pt>
                <c:pt idx="18">
                  <c:v>106.49411073869621</c:v>
                </c:pt>
                <c:pt idx="19">
                  <c:v>106.4008701512096</c:v>
                </c:pt>
                <c:pt idx="20">
                  <c:v>106.3077926939077</c:v>
                </c:pt>
              </c:numCache>
            </c:numRef>
          </c:val>
          <c:smooth val="1"/>
        </c:ser>
        <c:ser>
          <c:idx val="2"/>
          <c:order val="2"/>
          <c:tx>
            <c:strRef>
              <c:f>Series!$V$15</c:f>
              <c:strCache>
                <c:ptCount val="1"/>
                <c:pt idx="0">
                  <c:v>S</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Series!$S$16:$S$36</c:f>
              <c:numCache>
                <c:ptCount val="21"/>
                <c:pt idx="0">
                  <c:v>700</c:v>
                </c:pt>
                <c:pt idx="1">
                  <c:v>710</c:v>
                </c:pt>
                <c:pt idx="2">
                  <c:v>720</c:v>
                </c:pt>
                <c:pt idx="3">
                  <c:v>730</c:v>
                </c:pt>
                <c:pt idx="4">
                  <c:v>740</c:v>
                </c:pt>
                <c:pt idx="5">
                  <c:v>750</c:v>
                </c:pt>
                <c:pt idx="6">
                  <c:v>760</c:v>
                </c:pt>
                <c:pt idx="7">
                  <c:v>770</c:v>
                </c:pt>
                <c:pt idx="8">
                  <c:v>780</c:v>
                </c:pt>
                <c:pt idx="9">
                  <c:v>790</c:v>
                </c:pt>
                <c:pt idx="10">
                  <c:v>800</c:v>
                </c:pt>
                <c:pt idx="11">
                  <c:v>810</c:v>
                </c:pt>
                <c:pt idx="12">
                  <c:v>820</c:v>
                </c:pt>
                <c:pt idx="13">
                  <c:v>830</c:v>
                </c:pt>
                <c:pt idx="14">
                  <c:v>840</c:v>
                </c:pt>
                <c:pt idx="15">
                  <c:v>850</c:v>
                </c:pt>
                <c:pt idx="16">
                  <c:v>860</c:v>
                </c:pt>
                <c:pt idx="17">
                  <c:v>870</c:v>
                </c:pt>
                <c:pt idx="18">
                  <c:v>880</c:v>
                </c:pt>
                <c:pt idx="19">
                  <c:v>890</c:v>
                </c:pt>
                <c:pt idx="20">
                  <c:v>900</c:v>
                </c:pt>
              </c:numCache>
            </c:numRef>
          </c:cat>
          <c:val>
            <c:numRef>
              <c:f>Series!$V$16:$V$36</c:f>
              <c:numCache>
                <c:ptCount val="21"/>
                <c:pt idx="0">
                  <c:v>110.93425314610096</c:v>
                </c:pt>
                <c:pt idx="1">
                  <c:v>111.15219863361786</c:v>
                </c:pt>
                <c:pt idx="2">
                  <c:v>111.37100217423522</c:v>
                </c:pt>
                <c:pt idx="3">
                  <c:v>111.59066884519031</c:v>
                </c:pt>
                <c:pt idx="4">
                  <c:v>111.8112037638567</c:v>
                </c:pt>
                <c:pt idx="5">
                  <c:v>112.03261208814156</c:v>
                </c:pt>
                <c:pt idx="6">
                  <c:v>112.25489901688788</c:v>
                </c:pt>
                <c:pt idx="7">
                  <c:v>112.4780697902813</c:v>
                </c:pt>
                <c:pt idx="8">
                  <c:v>112.70212969026193</c:v>
                </c:pt>
                <c:pt idx="9">
                  <c:v>112.9270840409411</c:v>
                </c:pt>
                <c:pt idx="10">
                  <c:v>113.15293820902298</c:v>
                </c:pt>
                <c:pt idx="11">
                  <c:v>113.37969760423144</c:v>
                </c:pt>
                <c:pt idx="12">
                  <c:v>113.60736767974194</c:v>
                </c:pt>
                <c:pt idx="13">
                  <c:v>113.8359539326187</c:v>
                </c:pt>
                <c:pt idx="14">
                  <c:v>114.06546190425703</c:v>
                </c:pt>
                <c:pt idx="15">
                  <c:v>114.29589718083129</c:v>
                </c:pt>
                <c:pt idx="16">
                  <c:v>114.52726539374795</c:v>
                </c:pt>
                <c:pt idx="17">
                  <c:v>114.75957222010445</c:v>
                </c:pt>
                <c:pt idx="18">
                  <c:v>114.99282338315344</c:v>
                </c:pt>
                <c:pt idx="19">
                  <c:v>115.22702465277288</c:v>
                </c:pt>
                <c:pt idx="20">
                  <c:v>115.46218184594181</c:v>
                </c:pt>
              </c:numCache>
            </c:numRef>
          </c:val>
          <c:smooth val="1"/>
        </c:ser>
        <c:ser>
          <c:idx val="3"/>
          <c:order val="3"/>
          <c:tx>
            <c:strRef>
              <c:f>Series!$W$15</c:f>
              <c:strCache>
                <c:ptCount val="1"/>
                <c:pt idx="0">
                  <c:v>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Series!$S$16:$S$36</c:f>
              <c:numCache>
                <c:ptCount val="21"/>
                <c:pt idx="0">
                  <c:v>700</c:v>
                </c:pt>
                <c:pt idx="1">
                  <c:v>710</c:v>
                </c:pt>
                <c:pt idx="2">
                  <c:v>720</c:v>
                </c:pt>
                <c:pt idx="3">
                  <c:v>730</c:v>
                </c:pt>
                <c:pt idx="4">
                  <c:v>740</c:v>
                </c:pt>
                <c:pt idx="5">
                  <c:v>750</c:v>
                </c:pt>
                <c:pt idx="6">
                  <c:v>760</c:v>
                </c:pt>
                <c:pt idx="7">
                  <c:v>770</c:v>
                </c:pt>
                <c:pt idx="8">
                  <c:v>780</c:v>
                </c:pt>
                <c:pt idx="9">
                  <c:v>790</c:v>
                </c:pt>
                <c:pt idx="10">
                  <c:v>800</c:v>
                </c:pt>
                <c:pt idx="11">
                  <c:v>810</c:v>
                </c:pt>
                <c:pt idx="12">
                  <c:v>820</c:v>
                </c:pt>
                <c:pt idx="13">
                  <c:v>830</c:v>
                </c:pt>
                <c:pt idx="14">
                  <c:v>840</c:v>
                </c:pt>
                <c:pt idx="15">
                  <c:v>850</c:v>
                </c:pt>
                <c:pt idx="16">
                  <c:v>860</c:v>
                </c:pt>
                <c:pt idx="17">
                  <c:v>870</c:v>
                </c:pt>
                <c:pt idx="18">
                  <c:v>880</c:v>
                </c:pt>
                <c:pt idx="19">
                  <c:v>890</c:v>
                </c:pt>
                <c:pt idx="20">
                  <c:v>900</c:v>
                </c:pt>
              </c:numCache>
            </c:numRef>
          </c:cat>
          <c:val>
            <c:numRef>
              <c:f>Series!$W$16:$W$36</c:f>
              <c:numCache>
                <c:ptCount val="21"/>
                <c:pt idx="0">
                  <c:v>114.7127637578615</c:v>
                </c:pt>
                <c:pt idx="1">
                  <c:v>114.61071914713335</c:v>
                </c:pt>
                <c:pt idx="2">
                  <c:v>114.50885592594418</c:v>
                </c:pt>
                <c:pt idx="3">
                  <c:v>114.40717361107961</c:v>
                </c:pt>
                <c:pt idx="4">
                  <c:v>114.3056717210401</c:v>
                </c:pt>
                <c:pt idx="5">
                  <c:v>114.20434977603334</c:v>
                </c:pt>
                <c:pt idx="6">
                  <c:v>114.10320729796669</c:v>
                </c:pt>
                <c:pt idx="7">
                  <c:v>114.00224381043965</c:v>
                </c:pt>
                <c:pt idx="8">
                  <c:v>113.90145883873639</c:v>
                </c:pt>
                <c:pt idx="9">
                  <c:v>113.80085190981832</c:v>
                </c:pt>
                <c:pt idx="10">
                  <c:v>113.70042255231667</c:v>
                </c:pt>
                <c:pt idx="11">
                  <c:v>113.6001702965251</c:v>
                </c:pt>
                <c:pt idx="12">
                  <c:v>113.50009467439251</c:v>
                </c:pt>
                <c:pt idx="13">
                  <c:v>113.40019521951558</c:v>
                </c:pt>
                <c:pt idx="14">
                  <c:v>113.3004714671316</c:v>
                </c:pt>
                <c:pt idx="15">
                  <c:v>113.2009229541113</c:v>
                </c:pt>
                <c:pt idx="16">
                  <c:v>113.10154921895166</c:v>
                </c:pt>
                <c:pt idx="17">
                  <c:v>113.00234980176873</c:v>
                </c:pt>
                <c:pt idx="18">
                  <c:v>112.90332424429057</c:v>
                </c:pt>
                <c:pt idx="19">
                  <c:v>112.80447208985022</c:v>
                </c:pt>
                <c:pt idx="20">
                  <c:v>112.70579288337865</c:v>
                </c:pt>
              </c:numCache>
            </c:numRef>
          </c:val>
          <c:smooth val="1"/>
        </c:ser>
        <c:marker val="1"/>
        <c:axId val="2059017"/>
        <c:axId val="18531154"/>
      </c:lineChart>
      <c:catAx>
        <c:axId val="2059017"/>
        <c:scaling>
          <c:orientation val="minMax"/>
        </c:scaling>
        <c:axPos val="b"/>
        <c:title>
          <c:tx>
            <c:rich>
              <a:bodyPr vert="horz" rot="0" anchor="ctr"/>
              <a:lstStyle/>
              <a:p>
                <a:pPr algn="ctr">
                  <a:defRPr/>
                </a:pPr>
                <a:r>
                  <a:rPr lang="en-US" cap="none" sz="800" b="1" i="0" u="none" baseline="0">
                    <a:solidFill>
                      <a:srgbClr val="000000"/>
                    </a:solidFill>
                  </a:rPr>
                  <a:t>quantity of Good #2</a:t>
                </a:r>
              </a:p>
            </c:rich>
          </c:tx>
          <c:layout>
            <c:manualLayout>
              <c:xMode val="factor"/>
              <c:yMode val="factor"/>
              <c:x val="-0.01225"/>
              <c:y val="0.01"/>
            </c:manualLayout>
          </c:layout>
          <c:overlay val="0"/>
          <c:spPr>
            <a:noFill/>
            <a:ln>
              <a:noFill/>
            </a:ln>
          </c:spPr>
        </c:title>
        <c:delete val="0"/>
        <c:numFmt formatCode="General" sourceLinked="1"/>
        <c:majorTickMark val="out"/>
        <c:minorTickMark val="out"/>
        <c:tickLblPos val="nextTo"/>
        <c:spPr>
          <a:ln w="3175">
            <a:solidFill>
              <a:srgbClr val="000000"/>
            </a:solidFill>
          </a:ln>
        </c:spPr>
        <c:txPr>
          <a:bodyPr vert="horz" rot="0"/>
          <a:lstStyle/>
          <a:p>
            <a:pPr>
              <a:defRPr lang="en-US" cap="none" sz="800" b="1" i="0" u="none" baseline="0">
                <a:solidFill>
                  <a:srgbClr val="000000"/>
                </a:solidFill>
              </a:defRPr>
            </a:pPr>
          </a:p>
        </c:txPr>
        <c:crossAx val="18531154"/>
        <c:crossesAt val="90"/>
        <c:auto val="1"/>
        <c:lblOffset val="100"/>
        <c:tickLblSkip val="2"/>
        <c:noMultiLvlLbl val="0"/>
      </c:catAx>
      <c:valAx>
        <c:axId val="18531154"/>
        <c:scaling>
          <c:orientation val="minMax"/>
          <c:max val="130"/>
          <c:min val="90"/>
        </c:scaling>
        <c:axPos val="l"/>
        <c:title>
          <c:tx>
            <c:rich>
              <a:bodyPr vert="horz" rot="-5400000" anchor="ctr"/>
              <a:lstStyle/>
              <a:p>
                <a:pPr algn="ctr">
                  <a:defRPr/>
                </a:pPr>
                <a:r>
                  <a:rPr lang="en-US" cap="none" sz="800" b="1" i="0" u="none" baseline="0">
                    <a:solidFill>
                      <a:srgbClr val="000000"/>
                    </a:solidFill>
                  </a:rPr>
                  <a:t>price of Good #2</a:t>
                </a:r>
              </a:p>
            </c:rich>
          </c:tx>
          <c:layout>
            <c:manualLayout>
              <c:xMode val="factor"/>
              <c:yMode val="factor"/>
              <c:x val="-0.015"/>
              <c:y val="-0.001"/>
            </c:manualLayout>
          </c:layout>
          <c:overlay val="0"/>
          <c:spPr>
            <a:noFill/>
            <a:ln>
              <a:noFill/>
            </a:ln>
          </c:spPr>
        </c:title>
        <c:delete val="0"/>
        <c:numFmt formatCode="0" sourceLinked="0"/>
        <c:majorTickMark val="out"/>
        <c:minorTickMark val="out"/>
        <c:tickLblPos val="nextTo"/>
        <c:spPr>
          <a:ln w="3175">
            <a:solidFill>
              <a:srgbClr val="000000"/>
            </a:solidFill>
          </a:ln>
        </c:spPr>
        <c:txPr>
          <a:bodyPr vert="horz" rot="0"/>
          <a:lstStyle/>
          <a:p>
            <a:pPr>
              <a:defRPr lang="en-US" cap="none" sz="800" b="1" i="0" u="none" baseline="0">
                <a:solidFill>
                  <a:srgbClr val="000000"/>
                </a:solidFill>
              </a:defRPr>
            </a:pPr>
          </a:p>
        </c:txPr>
        <c:crossAx val="2059017"/>
        <c:crossesAt val="1"/>
        <c:crossBetween val="midCat"/>
        <c:dispUnits/>
        <c:majorUnit val="10"/>
        <c:minorUnit val="5"/>
      </c:valAx>
      <c:spPr>
        <a:pattFill prst="dotGrid">
          <a:fgClr>
            <a:srgbClr val="808080"/>
          </a:fgClr>
          <a:bgClr>
            <a:srgbClr val="C0C0C0"/>
          </a:bgClr>
        </a:pattFill>
        <a:ln w="3175">
          <a:noFill/>
        </a:ln>
      </c:spPr>
    </c:plotArea>
    <c:legend>
      <c:legendPos val="r"/>
      <c:layout>
        <c:manualLayout>
          <c:xMode val="edge"/>
          <c:yMode val="edge"/>
          <c:x val="0.8435"/>
          <c:y val="0.07225"/>
          <c:w val="0.12825"/>
          <c:h val="0.219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C0C0C0"/>
    </a:solidFill>
    <a:ln w="3175">
      <a:noFill/>
    </a:ln>
  </c:spPr>
  <c:txPr>
    <a:bodyPr vert="horz" rot="0"/>
    <a:lstStyle/>
    <a:p>
      <a:pPr>
        <a:defRPr lang="en-US" cap="none" sz="1000" b="0" i="0" u="none" baseline="0">
          <a:solidFill>
            <a:srgbClr val="000000"/>
          </a:solidFill>
          <a:latin typeface="Courier New"/>
          <a:ea typeface="Courier New"/>
          <a:cs typeface="Courier New"/>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
          <c:y val="0.018"/>
          <c:w val="0.84575"/>
          <c:h val="0.90175"/>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Series!$C$8:$C$38</c:f>
              <c:numCache>
                <c:ptCount val="31"/>
                <c:pt idx="0">
                  <c:v>0</c:v>
                </c:pt>
                <c:pt idx="1">
                  <c:v>1.009999394416809</c:v>
                </c:pt>
                <c:pt idx="2">
                  <c:v>2.019998550415039</c:v>
                </c:pt>
                <c:pt idx="3">
                  <c:v>3.0299975872039795</c:v>
                </c:pt>
                <c:pt idx="4">
                  <c:v>4.039997577667236</c:v>
                </c:pt>
                <c:pt idx="5">
                  <c:v>5.050020694732666</c:v>
                </c:pt>
                <c:pt idx="6">
                  <c:v>6.060043811798096</c:v>
                </c:pt>
                <c:pt idx="7">
                  <c:v>7.070066928863525</c:v>
                </c:pt>
                <c:pt idx="8">
                  <c:v>8.080089569091797</c:v>
                </c:pt>
                <c:pt idx="9">
                  <c:v>9.090112686157227</c:v>
                </c:pt>
                <c:pt idx="10">
                  <c:v>10.100135803222656</c:v>
                </c:pt>
                <c:pt idx="11">
                  <c:v>11.110158920288086</c:v>
                </c:pt>
                <c:pt idx="12">
                  <c:v>12.120182037353516</c:v>
                </c:pt>
                <c:pt idx="13">
                  <c:v>13.130205154418945</c:v>
                </c:pt>
                <c:pt idx="14">
                  <c:v>14.140228271484375</c:v>
                </c:pt>
                <c:pt idx="15">
                  <c:v>15.150251388549805</c:v>
                </c:pt>
                <c:pt idx="16">
                  <c:v>16.160274505615234</c:v>
                </c:pt>
                <c:pt idx="17">
                  <c:v>17.170297622680664</c:v>
                </c:pt>
                <c:pt idx="18">
                  <c:v>18.180320739746094</c:v>
                </c:pt>
                <c:pt idx="19">
                  <c:v>19.190343856811523</c:v>
                </c:pt>
                <c:pt idx="20">
                  <c:v>20.200366973876953</c:v>
                </c:pt>
                <c:pt idx="21">
                  <c:v>21.210390090942383</c:v>
                </c:pt>
                <c:pt idx="22">
                  <c:v>22.220413208007812</c:v>
                </c:pt>
                <c:pt idx="23">
                  <c:v>23.230436325073242</c:v>
                </c:pt>
                <c:pt idx="24">
                  <c:v>24.240459442138672</c:v>
                </c:pt>
                <c:pt idx="25">
                  <c:v>25.2504825592041</c:v>
                </c:pt>
                <c:pt idx="26">
                  <c:v>26.26050567626953</c:v>
                </c:pt>
                <c:pt idx="27">
                  <c:v>27.27052879333496</c:v>
                </c:pt>
                <c:pt idx="28">
                  <c:v>28.28055191040039</c:v>
                </c:pt>
                <c:pt idx="29">
                  <c:v>29.29057502746582</c:v>
                </c:pt>
                <c:pt idx="30">
                  <c:v>30.000591278076172</c:v>
                </c:pt>
              </c:numCache>
            </c:numRef>
          </c:cat>
          <c:val>
            <c:numRef>
              <c:f>Series!$H$8:$H$38</c:f>
              <c:numCache>
                <c:ptCount val="31"/>
                <c:pt idx="0">
                  <c:v>0.10458342938260246</c:v>
                </c:pt>
                <c:pt idx="1">
                  <c:v>0.10075927182068001</c:v>
                </c:pt>
                <c:pt idx="2">
                  <c:v>0.10186623383309601</c:v>
                </c:pt>
                <c:pt idx="3">
                  <c:v>0.10233455098304778</c:v>
                </c:pt>
                <c:pt idx="4">
                  <c:v>0.1023912351215126</c:v>
                </c:pt>
                <c:pt idx="5">
                  <c:v>0.10236582939179995</c:v>
                </c:pt>
                <c:pt idx="6">
                  <c:v>0.1023433038695416</c:v>
                </c:pt>
                <c:pt idx="7">
                  <c:v>0.10233322822245983</c:v>
                </c:pt>
                <c:pt idx="8">
                  <c:v>0.10232932470569467</c:v>
                </c:pt>
                <c:pt idx="9">
                  <c:v>0.10232711861580213</c:v>
                </c:pt>
                <c:pt idx="10">
                  <c:v>0.1023250797625519</c:v>
                </c:pt>
                <c:pt idx="11">
                  <c:v>0.10232278752119583</c:v>
                </c:pt>
                <c:pt idx="12">
                  <c:v>0.10232000302288968</c:v>
                </c:pt>
                <c:pt idx="13">
                  <c:v>0.10231654048569716</c:v>
                </c:pt>
                <c:pt idx="14">
                  <c:v>0.10231233110048699</c:v>
                </c:pt>
                <c:pt idx="15">
                  <c:v>0.10230743373009843</c:v>
                </c:pt>
                <c:pt idx="16">
                  <c:v>0.10230198992829376</c:v>
                </c:pt>
                <c:pt idx="17">
                  <c:v>0.10229617100482247</c:v>
                </c:pt>
                <c:pt idx="18">
                  <c:v>0.10229014212572385</c:v>
                </c:pt>
                <c:pt idx="19">
                  <c:v>0.10228404523731016</c:v>
                </c:pt>
                <c:pt idx="20">
                  <c:v>0.10227799418472694</c:v>
                </c:pt>
                <c:pt idx="21">
                  <c:v>0.10227207578543629</c:v>
                </c:pt>
                <c:pt idx="22">
                  <c:v>0.1022663531875656</c:v>
                </c:pt>
                <c:pt idx="23">
                  <c:v>0.10226086980930771</c:v>
                </c:pt>
                <c:pt idx="24">
                  <c:v>0.10225565316653618</c:v>
                </c:pt>
                <c:pt idx="25">
                  <c:v>0.10225071832044486</c:v>
                </c:pt>
                <c:pt idx="26">
                  <c:v>0.10224607084739334</c:v>
                </c:pt>
                <c:pt idx="27">
                  <c:v>0.1022417093122503</c:v>
                </c:pt>
                <c:pt idx="28">
                  <c:v>0.10223762727036911</c:v>
                </c:pt>
                <c:pt idx="29">
                  <c:v>0.10223381484793981</c:v>
                </c:pt>
                <c:pt idx="30">
                  <c:v>0.10223132445849425</c:v>
                </c:pt>
              </c:numCache>
            </c:numRef>
          </c:val>
          <c:smooth val="1"/>
        </c:ser>
        <c:marker val="1"/>
        <c:axId val="32562659"/>
        <c:axId val="24628476"/>
      </c:lineChart>
      <c:lineChart>
        <c:grouping val="standard"/>
        <c:varyColors val="0"/>
        <c:ser>
          <c:idx val="0"/>
          <c:order val="1"/>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Series!$I$8:$I$38</c:f>
              <c:numCache>
                <c:ptCount val="31"/>
                <c:pt idx="0">
                  <c:v>1.0958181485294727</c:v>
                </c:pt>
                <c:pt idx="1">
                  <c:v>0.6541905539719304</c:v>
                </c:pt>
                <c:pt idx="2">
                  <c:v>0.7914133316631776</c:v>
                </c:pt>
                <c:pt idx="3">
                  <c:v>0.9049786187751216</c:v>
                </c:pt>
                <c:pt idx="4">
                  <c:v>0.9713198298865559</c:v>
                </c:pt>
                <c:pt idx="5">
                  <c:v>1.0135167846033863</c:v>
                </c:pt>
                <c:pt idx="6">
                  <c:v>1.041504830577622</c:v>
                </c:pt>
                <c:pt idx="7">
                  <c:v>1.0608548135904057</c:v>
                </c:pt>
                <c:pt idx="8">
                  <c:v>1.0749397648256969</c:v>
                </c:pt>
                <c:pt idx="9">
                  <c:v>1.085639792335124</c:v>
                </c:pt>
                <c:pt idx="10">
                  <c:v>1.0939136791296977</c:v>
                </c:pt>
                <c:pt idx="11">
                  <c:v>1.1002773066036295</c:v>
                </c:pt>
                <c:pt idx="12">
                  <c:v>1.105086854477224</c:v>
                </c:pt>
                <c:pt idx="13">
                  <c:v>1.1086472413344741</c:v>
                </c:pt>
                <c:pt idx="14">
                  <c:v>1.111230292729969</c:v>
                </c:pt>
                <c:pt idx="15">
                  <c:v>1.113068153899089</c:v>
                </c:pt>
                <c:pt idx="16">
                  <c:v>1.1143493461234684</c:v>
                </c:pt>
                <c:pt idx="17">
                  <c:v>1.11522154372678</c:v>
                </c:pt>
                <c:pt idx="18">
                  <c:v>1.1157978593755793</c:v>
                </c:pt>
                <c:pt idx="19">
                  <c:v>1.1161636387190017</c:v>
                </c:pt>
                <c:pt idx="20">
                  <c:v>1.1163824404969491</c:v>
                </c:pt>
                <c:pt idx="21">
                  <c:v>1.116500941812775</c:v>
                </c:pt>
                <c:pt idx="22">
                  <c:v>1.1165528837561627</c:v>
                </c:pt>
                <c:pt idx="23">
                  <c:v>1.1165622237021635</c:v>
                </c:pt>
                <c:pt idx="24">
                  <c:v>1.1165456306039172</c:v>
                </c:pt>
                <c:pt idx="25">
                  <c:v>1.1165144327855385</c:v>
                </c:pt>
                <c:pt idx="26">
                  <c:v>1.1164761134003132</c:v>
                </c:pt>
                <c:pt idx="27">
                  <c:v>1.1164354390954683</c:v>
                </c:pt>
                <c:pt idx="28">
                  <c:v>1.116395297498351</c:v>
                </c:pt>
                <c:pt idx="29">
                  <c:v>1.1163573081239766</c:v>
                </c:pt>
                <c:pt idx="30">
                  <c:v>1.1163326808967153</c:v>
                </c:pt>
              </c:numCache>
            </c:numRef>
          </c:val>
          <c:smooth val="1"/>
        </c:ser>
        <c:marker val="1"/>
        <c:axId val="20329693"/>
        <c:axId val="48749510"/>
      </c:lineChart>
      <c:catAx>
        <c:axId val="32562659"/>
        <c:scaling>
          <c:orientation val="minMax"/>
        </c:scaling>
        <c:axPos val="b"/>
        <c:title>
          <c:tx>
            <c:rich>
              <a:bodyPr vert="horz" rot="0" anchor="ctr"/>
              <a:lstStyle/>
              <a:p>
                <a:pPr algn="ctr">
                  <a:defRPr/>
                </a:pPr>
                <a:r>
                  <a:rPr lang="en-US" cap="none" sz="800" b="1" i="0" u="none" baseline="0">
                    <a:solidFill>
                      <a:srgbClr val="000000"/>
                    </a:solidFill>
                  </a:rPr>
                  <a:t>year</a:t>
                </a:r>
              </a:p>
            </c:rich>
          </c:tx>
          <c:layout>
            <c:manualLayout>
              <c:xMode val="factor"/>
              <c:yMode val="factor"/>
              <c:x val="-0.00425"/>
              <c:y val="0.10475"/>
            </c:manualLayout>
          </c:layout>
          <c:overlay val="0"/>
          <c:spPr>
            <a:noFill/>
            <a:ln>
              <a:noFill/>
            </a:ln>
          </c:spPr>
        </c:title>
        <c:delete val="0"/>
        <c:numFmt formatCode="0" sourceLinked="0"/>
        <c:majorTickMark val="out"/>
        <c:minorTickMark val="out"/>
        <c:tickLblPos val="nextTo"/>
        <c:spPr>
          <a:ln w="3175">
            <a:solidFill>
              <a:srgbClr val="000000"/>
            </a:solidFill>
          </a:ln>
        </c:spPr>
        <c:txPr>
          <a:bodyPr vert="horz" rot="0"/>
          <a:lstStyle/>
          <a:p>
            <a:pPr>
              <a:defRPr lang="en-US" cap="none" sz="800" b="1" i="0" u="none" baseline="0">
                <a:solidFill>
                  <a:srgbClr val="000000"/>
                </a:solidFill>
              </a:defRPr>
            </a:pPr>
          </a:p>
        </c:txPr>
        <c:crossAx val="24628476"/>
        <c:crossesAt val="0.09"/>
        <c:auto val="1"/>
        <c:lblOffset val="100"/>
        <c:tickLblSkip val="5"/>
        <c:noMultiLvlLbl val="0"/>
      </c:catAx>
      <c:valAx>
        <c:axId val="24628476"/>
        <c:scaling>
          <c:orientation val="minMax"/>
          <c:max val="0.11"/>
          <c:min val="0.09"/>
        </c:scaling>
        <c:axPos val="l"/>
        <c:title>
          <c:tx>
            <c:rich>
              <a:bodyPr vert="horz" rot="-5400000" anchor="ctr"/>
              <a:lstStyle/>
              <a:p>
                <a:pPr algn="ctr">
                  <a:defRPr/>
                </a:pPr>
                <a:r>
                  <a:rPr lang="en-US" cap="none" sz="800" b="1" i="0" u="none" baseline="0">
                    <a:solidFill>
                      <a:srgbClr val="800000"/>
                    </a:solidFill>
                  </a:rPr>
                  <a:t>interest rate</a:t>
                </a:r>
              </a:p>
            </c:rich>
          </c:tx>
          <c:layout>
            <c:manualLayout>
              <c:xMode val="factor"/>
              <c:yMode val="factor"/>
              <c:x val="-0.024"/>
              <c:y val="0"/>
            </c:manualLayout>
          </c:layout>
          <c:overlay val="0"/>
          <c:spPr>
            <a:noFill/>
            <a:ln>
              <a:noFill/>
            </a:ln>
          </c:spPr>
        </c:title>
        <c:delete val="0"/>
        <c:numFmt formatCode="0.0%" sourceLinked="0"/>
        <c:majorTickMark val="out"/>
        <c:minorTickMark val="out"/>
        <c:tickLblPos val="nextTo"/>
        <c:spPr>
          <a:ln w="3175">
            <a:solidFill>
              <a:srgbClr val="000000"/>
            </a:solidFill>
          </a:ln>
        </c:spPr>
        <c:txPr>
          <a:bodyPr vert="horz" rot="0"/>
          <a:lstStyle/>
          <a:p>
            <a:pPr>
              <a:defRPr lang="en-US" cap="none" sz="800" b="1" i="0" u="none" baseline="0">
                <a:solidFill>
                  <a:srgbClr val="800000"/>
                </a:solidFill>
              </a:defRPr>
            </a:pPr>
          </a:p>
        </c:txPr>
        <c:crossAx val="32562659"/>
        <c:crossesAt val="1"/>
        <c:crossBetween val="midCat"/>
        <c:dispUnits/>
        <c:majorUnit val="0.005"/>
        <c:minorUnit val="0.001"/>
      </c:valAx>
      <c:catAx>
        <c:axId val="20329693"/>
        <c:scaling>
          <c:orientation val="minMax"/>
        </c:scaling>
        <c:axPos val="b"/>
        <c:delete val="1"/>
        <c:majorTickMark val="out"/>
        <c:minorTickMark val="none"/>
        <c:tickLblPos val="nextTo"/>
        <c:crossAx val="48749510"/>
        <c:crossesAt val="0.8"/>
        <c:auto val="1"/>
        <c:lblOffset val="100"/>
        <c:tickLblSkip val="1"/>
        <c:noMultiLvlLbl val="0"/>
      </c:catAx>
      <c:valAx>
        <c:axId val="48749510"/>
        <c:scaling>
          <c:orientation val="minMax"/>
          <c:max val="1.2"/>
          <c:min val="0.8"/>
        </c:scaling>
        <c:axPos val="l"/>
        <c:title>
          <c:tx>
            <c:rich>
              <a:bodyPr vert="horz" rot="-5400000" anchor="ctr"/>
              <a:lstStyle/>
              <a:p>
                <a:pPr algn="ctr">
                  <a:defRPr/>
                </a:pPr>
                <a:r>
                  <a:rPr lang="en-US" cap="none" sz="800" b="1" i="0" u="none" baseline="0">
                    <a:solidFill>
                      <a:srgbClr val="000000"/>
                    </a:solidFill>
                  </a:rPr>
                  <a:t>relative currency values</a:t>
                </a:r>
              </a:p>
            </c:rich>
          </c:tx>
          <c:layout>
            <c:manualLayout>
              <c:xMode val="factor"/>
              <c:yMode val="factor"/>
              <c:x val="-0.02175"/>
              <c:y val="0.0075"/>
            </c:manualLayout>
          </c:layout>
          <c:overlay val="0"/>
          <c:spPr>
            <a:noFill/>
            <a:ln>
              <a:noFill/>
            </a:ln>
          </c:spPr>
        </c:title>
        <c:delete val="0"/>
        <c:numFmt formatCode="0.00" sourceLinked="0"/>
        <c:majorTickMark val="out"/>
        <c:minorTickMark val="out"/>
        <c:tickLblPos val="nextTo"/>
        <c:spPr>
          <a:ln w="3175">
            <a:solidFill>
              <a:srgbClr val="000000"/>
            </a:solidFill>
          </a:ln>
        </c:spPr>
        <c:txPr>
          <a:bodyPr vert="horz" rot="0"/>
          <a:lstStyle/>
          <a:p>
            <a:pPr>
              <a:defRPr lang="en-US" cap="none" sz="800" b="1" i="0" u="none" baseline="0">
                <a:solidFill>
                  <a:srgbClr val="000000"/>
                </a:solidFill>
              </a:defRPr>
            </a:pPr>
          </a:p>
        </c:txPr>
        <c:crossAx val="20329693"/>
        <c:crosses val="max"/>
        <c:crossBetween val="midCat"/>
        <c:dispUnits/>
        <c:majorUnit val="0.1"/>
        <c:minorUnit val="0.05"/>
      </c:valAx>
      <c:spPr>
        <a:pattFill prst="dotGrid">
          <a:fgClr>
            <a:srgbClr val="808080"/>
          </a:fgClr>
          <a:bgClr>
            <a:srgbClr val="C0C0C0"/>
          </a:bgClr>
        </a:pattFill>
        <a:ln w="3175">
          <a:noFill/>
        </a:ln>
      </c:spPr>
    </c:plotArea>
    <c:plotVisOnly val="1"/>
    <c:dispBlanksAs val="gap"/>
    <c:showDLblsOverMax val="0"/>
  </c:chart>
  <c:spPr>
    <a:solidFill>
      <a:srgbClr val="C0C0C0"/>
    </a:solidFill>
    <a:ln w="3175">
      <a:noFill/>
    </a:ln>
  </c:spPr>
  <c:txPr>
    <a:bodyPr vert="horz" rot="0"/>
    <a:lstStyle/>
    <a:p>
      <a:pPr>
        <a:defRPr lang="en-US" cap="none" sz="1000" b="0" i="0" u="none" baseline="0">
          <a:solidFill>
            <a:srgbClr val="000000"/>
          </a:solidFill>
          <a:latin typeface="Courier New"/>
          <a:ea typeface="Courier New"/>
          <a:cs typeface="Courier New"/>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year</a:t>
            </a:r>
          </a:p>
        </c:rich>
      </c:tx>
      <c:layout>
        <c:manualLayout>
          <c:xMode val="factor"/>
          <c:yMode val="factor"/>
          <c:x val="0.323"/>
          <c:y val="0.9175"/>
        </c:manualLayout>
      </c:layout>
      <c:spPr>
        <a:noFill/>
        <a:ln>
          <a:noFill/>
        </a:ln>
      </c:spPr>
    </c:title>
    <c:plotArea>
      <c:layout>
        <c:manualLayout>
          <c:xMode val="edge"/>
          <c:yMode val="edge"/>
          <c:x val="0.06325"/>
          <c:y val="0.0355"/>
          <c:w val="0.8185"/>
          <c:h val="0.90975"/>
        </c:manualLayout>
      </c:layout>
      <c:lineChart>
        <c:grouping val="standard"/>
        <c:varyColors val="0"/>
        <c:ser>
          <c:idx val="0"/>
          <c:order val="0"/>
          <c:tx>
            <c:strRef>
              <c:f>Series!$D$7</c:f>
              <c:strCache>
                <c:ptCount val="1"/>
                <c:pt idx="0">
                  <c:v>S1</c:v>
                </c:pt>
              </c:strCache>
            </c:strRef>
          </c:tx>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Series!$C$8:$C$38</c:f>
              <c:numCache>
                <c:ptCount val="31"/>
                <c:pt idx="0">
                  <c:v>0</c:v>
                </c:pt>
                <c:pt idx="1">
                  <c:v>1.009999394416809</c:v>
                </c:pt>
                <c:pt idx="2">
                  <c:v>2.019998550415039</c:v>
                </c:pt>
                <c:pt idx="3">
                  <c:v>3.0299975872039795</c:v>
                </c:pt>
                <c:pt idx="4">
                  <c:v>4.039997577667236</c:v>
                </c:pt>
                <c:pt idx="5">
                  <c:v>5.050020694732666</c:v>
                </c:pt>
                <c:pt idx="6">
                  <c:v>6.060043811798096</c:v>
                </c:pt>
                <c:pt idx="7">
                  <c:v>7.070066928863525</c:v>
                </c:pt>
                <c:pt idx="8">
                  <c:v>8.080089569091797</c:v>
                </c:pt>
                <c:pt idx="9">
                  <c:v>9.090112686157227</c:v>
                </c:pt>
                <c:pt idx="10">
                  <c:v>10.100135803222656</c:v>
                </c:pt>
                <c:pt idx="11">
                  <c:v>11.110158920288086</c:v>
                </c:pt>
                <c:pt idx="12">
                  <c:v>12.120182037353516</c:v>
                </c:pt>
                <c:pt idx="13">
                  <c:v>13.130205154418945</c:v>
                </c:pt>
                <c:pt idx="14">
                  <c:v>14.140228271484375</c:v>
                </c:pt>
                <c:pt idx="15">
                  <c:v>15.150251388549805</c:v>
                </c:pt>
                <c:pt idx="16">
                  <c:v>16.160274505615234</c:v>
                </c:pt>
                <c:pt idx="17">
                  <c:v>17.170297622680664</c:v>
                </c:pt>
                <c:pt idx="18">
                  <c:v>18.180320739746094</c:v>
                </c:pt>
                <c:pt idx="19">
                  <c:v>19.190343856811523</c:v>
                </c:pt>
                <c:pt idx="20">
                  <c:v>20.200366973876953</c:v>
                </c:pt>
                <c:pt idx="21">
                  <c:v>21.210390090942383</c:v>
                </c:pt>
                <c:pt idx="22">
                  <c:v>22.220413208007812</c:v>
                </c:pt>
                <c:pt idx="23">
                  <c:v>23.230436325073242</c:v>
                </c:pt>
                <c:pt idx="24">
                  <c:v>24.240459442138672</c:v>
                </c:pt>
                <c:pt idx="25">
                  <c:v>25.2504825592041</c:v>
                </c:pt>
                <c:pt idx="26">
                  <c:v>26.26050567626953</c:v>
                </c:pt>
                <c:pt idx="27">
                  <c:v>27.27052879333496</c:v>
                </c:pt>
                <c:pt idx="28">
                  <c:v>28.28055191040039</c:v>
                </c:pt>
                <c:pt idx="29">
                  <c:v>29.29057502746582</c:v>
                </c:pt>
                <c:pt idx="30">
                  <c:v>30.000591278076172</c:v>
                </c:pt>
              </c:numCache>
            </c:numRef>
          </c:cat>
          <c:val>
            <c:numRef>
              <c:f>Series!$D$8:$D$38</c:f>
              <c:numCache>
                <c:ptCount val="31"/>
                <c:pt idx="0">
                  <c:v>764.028656559778</c:v>
                </c:pt>
                <c:pt idx="1">
                  <c:v>812.4779926082829</c:v>
                </c:pt>
                <c:pt idx="2">
                  <c:v>818.3119700324733</c:v>
                </c:pt>
                <c:pt idx="3">
                  <c:v>820.6153817957638</c:v>
                </c:pt>
                <c:pt idx="4">
                  <c:v>821.9884143186946</c:v>
                </c:pt>
                <c:pt idx="5">
                  <c:v>822.8686593025404</c:v>
                </c:pt>
                <c:pt idx="6">
                  <c:v>823.4796341298843</c:v>
                </c:pt>
                <c:pt idx="7">
                  <c:v>823.9256015873852</c:v>
                </c:pt>
                <c:pt idx="8">
                  <c:v>824.2644897508753</c:v>
                </c:pt>
                <c:pt idx="9">
                  <c:v>824.5291419838168</c:v>
                </c:pt>
                <c:pt idx="10">
                  <c:v>824.7381812218255</c:v>
                </c:pt>
                <c:pt idx="11">
                  <c:v>824.9033967030164</c:v>
                </c:pt>
                <c:pt idx="12">
                  <c:v>825.0336594548398</c:v>
                </c:pt>
                <c:pt idx="13">
                  <c:v>825.1363297618091</c:v>
                </c:pt>
                <c:pt idx="14">
                  <c:v>825.2175496309364</c:v>
                </c:pt>
                <c:pt idx="15">
                  <c:v>825.2822935903432</c:v>
                </c:pt>
                <c:pt idx="16">
                  <c:v>825.3344725681545</c:v>
                </c:pt>
                <c:pt idx="17">
                  <c:v>825.3771009576813</c:v>
                </c:pt>
                <c:pt idx="18">
                  <c:v>825.4124749903203</c:v>
                </c:pt>
                <c:pt idx="19">
                  <c:v>825.4423297122376</c:v>
                </c:pt>
                <c:pt idx="20">
                  <c:v>825.4679662831968</c:v>
                </c:pt>
                <c:pt idx="21">
                  <c:v>825.4903526967191</c:v>
                </c:pt>
                <c:pt idx="22">
                  <c:v>825.5102032507493</c:v>
                </c:pt>
                <c:pt idx="23">
                  <c:v>825.528041163644</c:v>
                </c:pt>
                <c:pt idx="24">
                  <c:v>825.5442475661976</c:v>
                </c:pt>
                <c:pt idx="25">
                  <c:v>825.559099378811</c:v>
                </c:pt>
                <c:pt idx="26">
                  <c:v>825.5727981743257</c:v>
                </c:pt>
                <c:pt idx="27">
                  <c:v>825.5854918352497</c:v>
                </c:pt>
                <c:pt idx="28">
                  <c:v>825.5972905481876</c:v>
                </c:pt>
                <c:pt idx="29">
                  <c:v>825.6082784221744</c:v>
                </c:pt>
                <c:pt idx="30">
                  <c:v>825.6154535186706</c:v>
                </c:pt>
              </c:numCache>
            </c:numRef>
          </c:val>
          <c:smooth val="1"/>
        </c:ser>
        <c:ser>
          <c:idx val="1"/>
          <c:order val="1"/>
          <c:tx>
            <c:strRef>
              <c:f>Series!$E$7</c:f>
              <c:strCache>
                <c:ptCount val="1"/>
                <c:pt idx="0">
                  <c:v>D1</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Series!$C$8:$C$38</c:f>
              <c:numCache>
                <c:ptCount val="31"/>
                <c:pt idx="0">
                  <c:v>0</c:v>
                </c:pt>
                <c:pt idx="1">
                  <c:v>1.009999394416809</c:v>
                </c:pt>
                <c:pt idx="2">
                  <c:v>2.019998550415039</c:v>
                </c:pt>
                <c:pt idx="3">
                  <c:v>3.0299975872039795</c:v>
                </c:pt>
                <c:pt idx="4">
                  <c:v>4.039997577667236</c:v>
                </c:pt>
                <c:pt idx="5">
                  <c:v>5.050020694732666</c:v>
                </c:pt>
                <c:pt idx="6">
                  <c:v>6.060043811798096</c:v>
                </c:pt>
                <c:pt idx="7">
                  <c:v>7.070066928863525</c:v>
                </c:pt>
                <c:pt idx="8">
                  <c:v>8.080089569091797</c:v>
                </c:pt>
                <c:pt idx="9">
                  <c:v>9.090112686157227</c:v>
                </c:pt>
                <c:pt idx="10">
                  <c:v>10.100135803222656</c:v>
                </c:pt>
                <c:pt idx="11">
                  <c:v>11.110158920288086</c:v>
                </c:pt>
                <c:pt idx="12">
                  <c:v>12.120182037353516</c:v>
                </c:pt>
                <c:pt idx="13">
                  <c:v>13.130205154418945</c:v>
                </c:pt>
                <c:pt idx="14">
                  <c:v>14.140228271484375</c:v>
                </c:pt>
                <c:pt idx="15">
                  <c:v>15.150251388549805</c:v>
                </c:pt>
                <c:pt idx="16">
                  <c:v>16.160274505615234</c:v>
                </c:pt>
                <c:pt idx="17">
                  <c:v>17.170297622680664</c:v>
                </c:pt>
                <c:pt idx="18">
                  <c:v>18.180320739746094</c:v>
                </c:pt>
                <c:pt idx="19">
                  <c:v>19.190343856811523</c:v>
                </c:pt>
                <c:pt idx="20">
                  <c:v>20.200366973876953</c:v>
                </c:pt>
                <c:pt idx="21">
                  <c:v>21.210390090942383</c:v>
                </c:pt>
                <c:pt idx="22">
                  <c:v>22.220413208007812</c:v>
                </c:pt>
                <c:pt idx="23">
                  <c:v>23.230436325073242</c:v>
                </c:pt>
                <c:pt idx="24">
                  <c:v>24.240459442138672</c:v>
                </c:pt>
                <c:pt idx="25">
                  <c:v>25.2504825592041</c:v>
                </c:pt>
                <c:pt idx="26">
                  <c:v>26.26050567626953</c:v>
                </c:pt>
                <c:pt idx="27">
                  <c:v>27.27052879333496</c:v>
                </c:pt>
                <c:pt idx="28">
                  <c:v>28.28055191040039</c:v>
                </c:pt>
                <c:pt idx="29">
                  <c:v>29.29057502746582</c:v>
                </c:pt>
                <c:pt idx="30">
                  <c:v>30.000591278076172</c:v>
                </c:pt>
              </c:numCache>
            </c:numRef>
          </c:cat>
          <c:val>
            <c:numRef>
              <c:f>Series!$E$8:$E$38</c:f>
              <c:numCache>
                <c:ptCount val="31"/>
                <c:pt idx="0">
                  <c:v>846.4082833812581</c:v>
                </c:pt>
                <c:pt idx="1">
                  <c:v>820.7106275758886</c:v>
                </c:pt>
                <c:pt idx="2">
                  <c:v>811.8077133415716</c:v>
                </c:pt>
                <c:pt idx="3">
                  <c:v>807.0305215491849</c:v>
                </c:pt>
                <c:pt idx="4">
                  <c:v>803.8366616672225</c:v>
                </c:pt>
                <c:pt idx="5">
                  <c:v>801.9118646189477</c:v>
                </c:pt>
                <c:pt idx="6">
                  <c:v>800.7688876895356</c:v>
                </c:pt>
                <c:pt idx="7">
                  <c:v>800.0282897617433</c:v>
                </c:pt>
                <c:pt idx="8">
                  <c:v>799.4825620518272</c:v>
                </c:pt>
                <c:pt idx="9">
                  <c:v>799.0453736891767</c:v>
                </c:pt>
                <c:pt idx="10">
                  <c:v>798.686211252855</c:v>
                </c:pt>
                <c:pt idx="11">
                  <c:v>798.3912893069647</c:v>
                </c:pt>
                <c:pt idx="12">
                  <c:v>798.1493981536998</c:v>
                </c:pt>
                <c:pt idx="13">
                  <c:v>797.9497631302962</c:v>
                </c:pt>
                <c:pt idx="14">
                  <c:v>797.7829441077437</c:v>
                </c:pt>
                <c:pt idx="15">
                  <c:v>797.6414375002698</c:v>
                </c:pt>
                <c:pt idx="16">
                  <c:v>797.51959257057</c:v>
                </c:pt>
                <c:pt idx="17">
                  <c:v>797.4132252925049</c:v>
                </c:pt>
                <c:pt idx="18">
                  <c:v>797.3192269104476</c:v>
                </c:pt>
                <c:pt idx="19">
                  <c:v>797.235266316377</c:v>
                </c:pt>
                <c:pt idx="20">
                  <c:v>797.1595821338295</c:v>
                </c:pt>
                <c:pt idx="21">
                  <c:v>797.090836199787</c:v>
                </c:pt>
                <c:pt idx="22">
                  <c:v>797.0280062167542</c:v>
                </c:pt>
                <c:pt idx="23">
                  <c:v>796.9703048963951</c:v>
                </c:pt>
                <c:pt idx="24">
                  <c:v>796.9171186713896</c:v>
                </c:pt>
                <c:pt idx="25">
                  <c:v>796.8679615876805</c:v>
                </c:pt>
                <c:pt idx="26">
                  <c:v>796.8224410522083</c:v>
                </c:pt>
                <c:pt idx="27">
                  <c:v>796.7802327206244</c:v>
                </c:pt>
                <c:pt idx="28">
                  <c:v>796.741062313732</c:v>
                </c:pt>
                <c:pt idx="29">
                  <c:v>796.7046926053549</c:v>
                </c:pt>
                <c:pt idx="30">
                  <c:v>796.68101787188</c:v>
                </c:pt>
              </c:numCache>
            </c:numRef>
          </c:val>
          <c:smooth val="1"/>
        </c:ser>
        <c:ser>
          <c:idx val="2"/>
          <c:order val="2"/>
          <c:tx>
            <c:strRef>
              <c:f>Series!$F$7</c:f>
              <c:strCache>
                <c:ptCount val="1"/>
                <c:pt idx="0">
                  <c:v>S2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Series!$C$8:$C$38</c:f>
              <c:numCache>
                <c:ptCount val="31"/>
                <c:pt idx="0">
                  <c:v>0</c:v>
                </c:pt>
                <c:pt idx="1">
                  <c:v>1.009999394416809</c:v>
                </c:pt>
                <c:pt idx="2">
                  <c:v>2.019998550415039</c:v>
                </c:pt>
                <c:pt idx="3">
                  <c:v>3.0299975872039795</c:v>
                </c:pt>
                <c:pt idx="4">
                  <c:v>4.039997577667236</c:v>
                </c:pt>
                <c:pt idx="5">
                  <c:v>5.050020694732666</c:v>
                </c:pt>
                <c:pt idx="6">
                  <c:v>6.060043811798096</c:v>
                </c:pt>
                <c:pt idx="7">
                  <c:v>7.070066928863525</c:v>
                </c:pt>
                <c:pt idx="8">
                  <c:v>8.080089569091797</c:v>
                </c:pt>
                <c:pt idx="9">
                  <c:v>9.090112686157227</c:v>
                </c:pt>
                <c:pt idx="10">
                  <c:v>10.100135803222656</c:v>
                </c:pt>
                <c:pt idx="11">
                  <c:v>11.110158920288086</c:v>
                </c:pt>
                <c:pt idx="12">
                  <c:v>12.120182037353516</c:v>
                </c:pt>
                <c:pt idx="13">
                  <c:v>13.130205154418945</c:v>
                </c:pt>
                <c:pt idx="14">
                  <c:v>14.140228271484375</c:v>
                </c:pt>
                <c:pt idx="15">
                  <c:v>15.150251388549805</c:v>
                </c:pt>
                <c:pt idx="16">
                  <c:v>16.160274505615234</c:v>
                </c:pt>
                <c:pt idx="17">
                  <c:v>17.170297622680664</c:v>
                </c:pt>
                <c:pt idx="18">
                  <c:v>18.180320739746094</c:v>
                </c:pt>
                <c:pt idx="19">
                  <c:v>19.190343856811523</c:v>
                </c:pt>
                <c:pt idx="20">
                  <c:v>20.200366973876953</c:v>
                </c:pt>
                <c:pt idx="21">
                  <c:v>21.210390090942383</c:v>
                </c:pt>
                <c:pt idx="22">
                  <c:v>22.220413208007812</c:v>
                </c:pt>
                <c:pt idx="23">
                  <c:v>23.230436325073242</c:v>
                </c:pt>
                <c:pt idx="24">
                  <c:v>24.240459442138672</c:v>
                </c:pt>
                <c:pt idx="25">
                  <c:v>25.2504825592041</c:v>
                </c:pt>
                <c:pt idx="26">
                  <c:v>26.26050567626953</c:v>
                </c:pt>
                <c:pt idx="27">
                  <c:v>27.27052879333496</c:v>
                </c:pt>
                <c:pt idx="28">
                  <c:v>28.28055191040039</c:v>
                </c:pt>
                <c:pt idx="29">
                  <c:v>29.29057502746582</c:v>
                </c:pt>
                <c:pt idx="30">
                  <c:v>30.000591278076172</c:v>
                </c:pt>
              </c:numCache>
            </c:numRef>
          </c:cat>
          <c:val>
            <c:numRef>
              <c:f>Series!$F$8:$F$38</c:f>
              <c:numCache>
                <c:ptCount val="31"/>
                <c:pt idx="0">
                  <c:v>750</c:v>
                </c:pt>
                <c:pt idx="1">
                  <c:v>736.2289054035873</c:v>
                </c:pt>
                <c:pt idx="2">
                  <c:v>736.3084438041378</c:v>
                </c:pt>
                <c:pt idx="3">
                  <c:v>736.8451929598559</c:v>
                </c:pt>
                <c:pt idx="4">
                  <c:v>737.4018124779204</c:v>
                </c:pt>
                <c:pt idx="5">
                  <c:v>738.0634289521759</c:v>
                </c:pt>
                <c:pt idx="6">
                  <c:v>738.6535951049882</c:v>
                </c:pt>
                <c:pt idx="7">
                  <c:v>739.0934619648042</c:v>
                </c:pt>
                <c:pt idx="8">
                  <c:v>739.3982920779417</c:v>
                </c:pt>
                <c:pt idx="9">
                  <c:v>739.6122486927634</c:v>
                </c:pt>
                <c:pt idx="10">
                  <c:v>739.7727657340565</c:v>
                </c:pt>
                <c:pt idx="11">
                  <c:v>739.9034434842652</c:v>
                </c:pt>
                <c:pt idx="12">
                  <c:v>740.0176867239352</c:v>
                </c:pt>
                <c:pt idx="13">
                  <c:v>740.1230306286243</c:v>
                </c:pt>
                <c:pt idx="14">
                  <c:v>740.2237272324464</c:v>
                </c:pt>
                <c:pt idx="15">
                  <c:v>740.3220454644634</c:v>
                </c:pt>
                <c:pt idx="16">
                  <c:v>740.4189900845467</c:v>
                </c:pt>
                <c:pt idx="17">
                  <c:v>740.5147832840103</c:v>
                </c:pt>
                <c:pt idx="18">
                  <c:v>740.6092098313711</c:v>
                </c:pt>
                <c:pt idx="19">
                  <c:v>740.7018519357525</c:v>
                </c:pt>
                <c:pt idx="20">
                  <c:v>740.7922350071121</c:v>
                </c:pt>
                <c:pt idx="21">
                  <c:v>740.8799094527103</c:v>
                </c:pt>
                <c:pt idx="22">
                  <c:v>740.9644913020402</c:v>
                </c:pt>
                <c:pt idx="23">
                  <c:v>741.0456782996289</c:v>
                </c:pt>
                <c:pt idx="24">
                  <c:v>741.1232521310758</c:v>
                </c:pt>
                <c:pt idx="25">
                  <c:v>741.1970731954416</c:v>
                </c:pt>
                <c:pt idx="26">
                  <c:v>741.2670717079645</c:v>
                </c:pt>
                <c:pt idx="27">
                  <c:v>741.3332373646144</c:v>
                </c:pt>
                <c:pt idx="28">
                  <c:v>741.3956088724972</c:v>
                </c:pt>
                <c:pt idx="29">
                  <c:v>741.4542640792843</c:v>
                </c:pt>
                <c:pt idx="30">
                  <c:v>741.4927917698669</c:v>
                </c:pt>
              </c:numCache>
            </c:numRef>
          </c:val>
          <c:smooth val="1"/>
        </c:ser>
        <c:ser>
          <c:idx val="3"/>
          <c:order val="3"/>
          <c:tx>
            <c:strRef>
              <c:f>Series!$G$7</c:f>
              <c:strCache>
                <c:ptCount val="1"/>
                <c:pt idx="0">
                  <c:v>D2</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Series!$G$8:$G$38</c:f>
              <c:numCache>
                <c:ptCount val="31"/>
                <c:pt idx="0">
                  <c:v>754.4586323774425</c:v>
                </c:pt>
                <c:pt idx="1">
                  <c:v>771.6683093641136</c:v>
                </c:pt>
                <c:pt idx="2">
                  <c:v>770.5348793137296</c:v>
                </c:pt>
                <c:pt idx="3">
                  <c:v>770.7090060971126</c:v>
                </c:pt>
                <c:pt idx="4">
                  <c:v>771.2644255100563</c:v>
                </c:pt>
                <c:pt idx="5">
                  <c:v>771.6213472911975</c:v>
                </c:pt>
                <c:pt idx="6">
                  <c:v>771.7811365883264</c:v>
                </c:pt>
                <c:pt idx="7">
                  <c:v>771.8368819026955</c:v>
                </c:pt>
                <c:pt idx="8">
                  <c:v>771.8520814935817</c:v>
                </c:pt>
                <c:pt idx="9">
                  <c:v>771.853049694484</c:v>
                </c:pt>
                <c:pt idx="10">
                  <c:v>771.8473575084327</c:v>
                </c:pt>
                <c:pt idx="11">
                  <c:v>771.8370790519655</c:v>
                </c:pt>
                <c:pt idx="12">
                  <c:v>771.8237032879395</c:v>
                </c:pt>
                <c:pt idx="13">
                  <c:v>771.8088682257167</c:v>
                </c:pt>
                <c:pt idx="14">
                  <c:v>771.7940365827228</c:v>
                </c:pt>
                <c:pt idx="15">
                  <c:v>771.7802555776732</c:v>
                </c:pt>
                <c:pt idx="16">
                  <c:v>771.7681403675207</c:v>
                </c:pt>
                <c:pt idx="17">
                  <c:v>771.7579662077064</c:v>
                </c:pt>
                <c:pt idx="18">
                  <c:v>771.7497762414513</c:v>
                </c:pt>
                <c:pt idx="19">
                  <c:v>771.7434690866529</c:v>
                </c:pt>
                <c:pt idx="20">
                  <c:v>771.7388616017059</c:v>
                </c:pt>
                <c:pt idx="21">
                  <c:v>771.7357317050829</c:v>
                </c:pt>
                <c:pt idx="22">
                  <c:v>771.7338467332946</c:v>
                </c:pt>
                <c:pt idx="23">
                  <c:v>771.732981482542</c:v>
                </c:pt>
                <c:pt idx="24">
                  <c:v>771.7329289083776</c:v>
                </c:pt>
                <c:pt idx="25">
                  <c:v>771.7335056732063</c:v>
                </c:pt>
                <c:pt idx="26">
                  <c:v>771.7345541827623</c:v>
                </c:pt>
                <c:pt idx="27">
                  <c:v>771.7359423323277</c:v>
                </c:pt>
                <c:pt idx="28">
                  <c:v>771.7375618515817</c:v>
                </c:pt>
                <c:pt idx="29">
                  <c:v>771.7393258789485</c:v>
                </c:pt>
                <c:pt idx="30">
                  <c:v>771.7405966598983</c:v>
                </c:pt>
              </c:numCache>
            </c:numRef>
          </c:val>
          <c:smooth val="1"/>
        </c:ser>
        <c:marker val="1"/>
        <c:axId val="36092407"/>
        <c:axId val="56396208"/>
      </c:lineChart>
      <c:catAx>
        <c:axId val="36092407"/>
        <c:scaling>
          <c:orientation val="minMax"/>
        </c:scaling>
        <c:axPos val="b"/>
        <c:delete val="0"/>
        <c:numFmt formatCode="0" sourceLinked="0"/>
        <c:majorTickMark val="out"/>
        <c:minorTickMark val="out"/>
        <c:tickLblPos val="nextTo"/>
        <c:spPr>
          <a:ln w="3175">
            <a:solidFill>
              <a:srgbClr val="000000"/>
            </a:solidFill>
          </a:ln>
        </c:spPr>
        <c:txPr>
          <a:bodyPr vert="horz" rot="0"/>
          <a:lstStyle/>
          <a:p>
            <a:pPr>
              <a:defRPr lang="en-US" cap="none" sz="800" b="1" i="0" u="none" baseline="0">
                <a:solidFill>
                  <a:srgbClr val="000000"/>
                </a:solidFill>
              </a:defRPr>
            </a:pPr>
          </a:p>
        </c:txPr>
        <c:crossAx val="56396208"/>
        <c:crossesAt val="725"/>
        <c:auto val="1"/>
        <c:lblOffset val="100"/>
        <c:tickLblSkip val="5"/>
        <c:noMultiLvlLbl val="0"/>
      </c:catAx>
      <c:valAx>
        <c:axId val="56396208"/>
        <c:scaling>
          <c:orientation val="minMax"/>
          <c:max val="850"/>
          <c:min val="725"/>
        </c:scaling>
        <c:axPos val="l"/>
        <c:title>
          <c:tx>
            <c:rich>
              <a:bodyPr vert="horz" rot="-5400000" anchor="ctr"/>
              <a:lstStyle/>
              <a:p>
                <a:pPr algn="ctr">
                  <a:defRPr/>
                </a:pPr>
                <a:r>
                  <a:rPr lang="en-US" cap="none" sz="800" b="1" i="0" u="none" baseline="0">
                    <a:solidFill>
                      <a:srgbClr val="000000"/>
                    </a:solidFill>
                  </a:rPr>
                  <a:t>quantity of Good #2 per year</a:t>
                </a:r>
              </a:p>
            </c:rich>
          </c:tx>
          <c:layout>
            <c:manualLayout>
              <c:xMode val="factor"/>
              <c:yMode val="factor"/>
              <c:x val="-0.01475"/>
              <c:y val="0.0055"/>
            </c:manualLayout>
          </c:layout>
          <c:overlay val="0"/>
          <c:spPr>
            <a:noFill/>
            <a:ln>
              <a:noFill/>
            </a:ln>
          </c:spPr>
        </c:title>
        <c:delete val="0"/>
        <c:numFmt formatCode="0" sourceLinked="0"/>
        <c:majorTickMark val="out"/>
        <c:minorTickMark val="out"/>
        <c:tickLblPos val="nextTo"/>
        <c:spPr>
          <a:ln w="3175">
            <a:solidFill>
              <a:srgbClr val="000000"/>
            </a:solidFill>
          </a:ln>
        </c:spPr>
        <c:txPr>
          <a:bodyPr vert="horz" rot="0"/>
          <a:lstStyle/>
          <a:p>
            <a:pPr>
              <a:defRPr lang="en-US" cap="none" sz="800" b="1" i="0" u="none" baseline="0">
                <a:solidFill>
                  <a:srgbClr val="000000"/>
                </a:solidFill>
              </a:defRPr>
            </a:pPr>
          </a:p>
        </c:txPr>
        <c:crossAx val="36092407"/>
        <c:crossesAt val="1"/>
        <c:crossBetween val="midCat"/>
        <c:dispUnits/>
        <c:majorUnit val="25"/>
        <c:minorUnit val="5"/>
      </c:valAx>
      <c:spPr>
        <a:pattFill prst="dotGrid">
          <a:fgClr>
            <a:srgbClr val="808080"/>
          </a:fgClr>
          <a:bgClr>
            <a:srgbClr val="C0C0C0"/>
          </a:bgClr>
        </a:pattFill>
        <a:ln w="3175">
          <a:noFill/>
        </a:ln>
      </c:spPr>
    </c:plotArea>
    <c:legend>
      <c:legendPos val="r"/>
      <c:layout>
        <c:manualLayout>
          <c:xMode val="edge"/>
          <c:yMode val="edge"/>
          <c:x val="0.82"/>
          <c:y val="0.12975"/>
          <c:w val="0.131"/>
          <c:h val="0.168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C0C0C0"/>
    </a:solidFill>
    <a:ln w="3175">
      <a:noFill/>
    </a:ln>
  </c:spPr>
  <c:txPr>
    <a:bodyPr vert="horz" rot="0"/>
    <a:lstStyle/>
    <a:p>
      <a:pPr>
        <a:defRPr lang="en-US" cap="none" sz="1000" b="0" i="0" u="none" baseline="0">
          <a:solidFill>
            <a:srgbClr val="000000"/>
          </a:solidFill>
          <a:latin typeface="Courier New"/>
          <a:ea typeface="Courier New"/>
          <a:cs typeface="Courier New"/>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sfecon.com/" TargetMode="External" /><Relationship Id="rId3" Type="http://schemas.openxmlformats.org/officeDocument/2006/relationships/hyperlink" Target="http://www.sfecon.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2.png" /><Relationship Id="rId4" Type="http://schemas.openxmlformats.org/officeDocument/2006/relationships/hyperlink" Target="http://www.sfecon.com/" TargetMode="External" /><Relationship Id="rId5" Type="http://schemas.openxmlformats.org/officeDocument/2006/relationships/hyperlink" Target="http://www.sfecon.com/"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sfecon.com/" TargetMode="External" /><Relationship Id="rId3" Type="http://schemas.openxmlformats.org/officeDocument/2006/relationships/hyperlink" Target="http://www.sfecon.com/"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sfecon.com/" TargetMode="External" /><Relationship Id="rId3" Type="http://schemas.openxmlformats.org/officeDocument/2006/relationships/hyperlink" Target="http://www.sfecon.com/"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7.png" /><Relationship Id="rId4" Type="http://schemas.openxmlformats.org/officeDocument/2006/relationships/image" Target="../media/image8.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619125</xdr:colOff>
      <xdr:row>2</xdr:row>
      <xdr:rowOff>47625</xdr:rowOff>
    </xdr:from>
    <xdr:to>
      <xdr:col>12</xdr:col>
      <xdr:colOff>200025</xdr:colOff>
      <xdr:row>111</xdr:row>
      <xdr:rowOff>133350</xdr:rowOff>
    </xdr:to>
    <xdr:sp fLocksText="0">
      <xdr:nvSpPr>
        <xdr:cNvPr id="1" name="Text 1"/>
        <xdr:cNvSpPr txBox="1">
          <a:spLocks noChangeArrowheads="1"/>
        </xdr:cNvSpPr>
      </xdr:nvSpPr>
      <xdr:spPr>
        <a:xfrm>
          <a:off x="1304925" y="390525"/>
          <a:ext cx="7124700" cy="18773775"/>
        </a:xfrm>
        <a:prstGeom prst="rect">
          <a:avLst/>
        </a:prstGeom>
        <a:noFill/>
        <a:ln w="9525" cmpd="sng">
          <a:noFill/>
        </a:ln>
      </xdr:spPr>
      <xdr:txBody>
        <a:bodyPr vertOverflow="clip" wrap="square" lIns="20160" tIns="20160" rIns="20160" bIns="20160"/>
        <a:p>
          <a:pPr algn="l">
            <a:defRPr/>
          </a:pPr>
          <a:r>
            <a:rPr lang="en-US" cap="none" sz="1200" b="1" i="0" u="none" baseline="0">
              <a:solidFill>
                <a:srgbClr val="000000"/>
              </a:solidFill>
            </a:rPr>
            <a:t>Print this sheet -- it explains the other sheets.
This workbook embodies a certain SFEcon theory of economic adjustment that is explicated at www.sfecon.com. It is written in Excel 2003. The workbook contains VBasic programs that will alert anti-virus software. Upon opening, your ‘security setting’ must be no higher than ‘medium’ when the workbook is loaded, and macros must be ‘enabled’ in order to run the programs. 
The M0.2.1.2 workbook operates on a 3 x 3 x 2 economic matrix representing two 'Seed and Corn' economies: Sectors 1 and 2 produce the economy's two economic goods; and Sector 3 is the household sector. 
The 'Econ 0' sheet computes absolute commodity values and the global export/import profile. The ‘Econ 1’ and 'Econ 2' sheets display a matrix transformation by which an economic state is advanced across one differential element of time. State variables embody 1) the physical holdings of a commodity by a sector, and 2) money in the forms of either capital invested or savings accumulated. State variables are highlighted in background shades of blue and green. All matrices used by the algorithm are associated with data names that are explicated through the Glossary Page at sfecon.com.
The pattern of computations on the ‘Econ 1’ and 'Econ 2' sheets proceeds from left to right, down, and back from right to left. This pattern begins with the model's current state and ends with its next state. These computations have reference to parameters describing 1) the sectors’ production and utility tradeoffs, and 2) the commodities’ turnover rates. Parameters are highlighted in background shades of lavender and purple, and are grouped the top of the ‘Econ 1’ and 'Econ 2' sheets. The algorithm’s computations terminate in an instantaneous rate of change for each state variable. Rates are highlighted in background shades of yellow.
Rates are integrated with the system’s current state by simple application of Euler’s rule in order to compute the system’s next state. Passage of one differential time period is accomplished by overlaying the values of the current state with the values computed for the next state. Time's passage is emulated by a macro that recursively overlays 'current states' with 'next states' using Excel’s 'paste values' command. 
Simulation controls are located on the left side of the ‘Control’ sheet. These are comprised in a few buttons and simulation parameters. All the simulation parameters, TIME, DT, PER, and SIMLEN are measured in years. The SIMLEN parameter can be changed at will to alter the period to be simulated. Other parameters should NOT require alteration. 
The ‘Reinitiate’ button sets the model to its equilibrium state and clears any data generated by prior experiments. This button must be clicked in the process of preparing to run each new simulation.
The ‘Plastic’, ‘Elastic’, and ‘Monetary’ buttons give the experimenter a set of options with which to stimulate the model. ‘Plastic’ is currently set to suddenly make Sector 2 of Economy 1 a more efficient user of its inputs. ‘Elastic’ is currently set to suddenly create an excess of Sector 2's product in Economy 1. ‘Monetary’ suddenly increases the capital stock by 10%.
The ‘Simulate Time’ button launches an experiment, which stops automatically after tracing the model’s adjustment to the imposed stimuli through time. This process creates graphically advancing time series as it advances TIME through the requisite number of DT's needed to arrive at the specified length of simulation SIMLEN. The process stops automatically when SIMLEN is reached, having sampled the time series generated at intervals defined by PER. This requires only a few seconds, after which control returns to Excel.
To run your first simulation, click on ‘Reinitiate’, then on ‘Plastic’, and then on 'Simulate Time'.
The ‘Control’ sheet contains the charts that record the simulation. These charts will typically need to have their vertical scales adjusted for the sake of a final presentation.
The ‘Series’ sheet records the time series data generated by an experiment.
The ‘GPE’ sheet computes the model's inital equilibrium prices. Initial utility and production tradeoffs are computed on the 'Utility' sheet. Initiation is completed by computation of initial state variables on the 'IState' sheet. The model recurs to these sheets when the experimenter requests that the model be reinitiated.
</a:t>
          </a:r>
        </a:p>
      </xdr:txBody>
    </xdr:sp>
    <xdr:clientData/>
  </xdr:twoCellAnchor>
  <xdr:twoCellAnchor>
    <xdr:from>
      <xdr:col>0</xdr:col>
      <xdr:colOff>152400</xdr:colOff>
      <xdr:row>0</xdr:row>
      <xdr:rowOff>161925</xdr:rowOff>
    </xdr:from>
    <xdr:to>
      <xdr:col>1</xdr:col>
      <xdr:colOff>333375</xdr:colOff>
      <xdr:row>5</xdr:row>
      <xdr:rowOff>152400</xdr:rowOff>
    </xdr:to>
    <xdr:pic>
      <xdr:nvPicPr>
        <xdr:cNvPr id="2" name="Picture 2">
          <a:hlinkClick r:id="rId3"/>
        </xdr:cNvPr>
        <xdr:cNvPicPr preferRelativeResize="1">
          <a:picLocks noChangeAspect="1"/>
        </xdr:cNvPicPr>
      </xdr:nvPicPr>
      <xdr:blipFill>
        <a:blip r:embed="rId1"/>
        <a:stretch>
          <a:fillRect/>
        </a:stretch>
      </xdr:blipFill>
      <xdr:spPr>
        <a:xfrm>
          <a:off x="152400" y="161925"/>
          <a:ext cx="866775" cy="8477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xdr:row>
      <xdr:rowOff>95250</xdr:rowOff>
    </xdr:from>
    <xdr:to>
      <xdr:col>1</xdr:col>
      <xdr:colOff>561975</xdr:colOff>
      <xdr:row>7</xdr:row>
      <xdr:rowOff>28575</xdr:rowOff>
    </xdr:to>
    <xdr:grpSp>
      <xdr:nvGrpSpPr>
        <xdr:cNvPr id="1" name="Group 2389"/>
        <xdr:cNvGrpSpPr>
          <a:grpSpLocks/>
        </xdr:cNvGrpSpPr>
      </xdr:nvGrpSpPr>
      <xdr:grpSpPr>
        <a:xfrm>
          <a:off x="266700" y="266700"/>
          <a:ext cx="981075" cy="962025"/>
          <a:chOff x="418" y="697"/>
          <a:chExt cx="1517" cy="1455"/>
        </a:xfrm>
        <a:solidFill>
          <a:srgbClr val="FFFFFF"/>
        </a:solidFill>
      </xdr:grpSpPr>
      <xdr:sp>
        <xdr:nvSpPr>
          <xdr:cNvPr id="2" name="Rectangle 2250"/>
          <xdr:cNvSpPr>
            <a:spLocks/>
          </xdr:cNvSpPr>
        </xdr:nvSpPr>
        <xdr:spPr>
          <a:xfrm>
            <a:off x="418" y="697"/>
            <a:ext cx="1517" cy="1455"/>
          </a:xfrm>
          <a:prstGeom prst="round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ourier New"/>
                <a:ea typeface="Courier New"/>
                <a:cs typeface="Courier New"/>
              </a:rPr>
              <a:t/>
            </a:r>
          </a:p>
        </xdr:txBody>
      </xdr:sp>
      <xdr:pic>
        <xdr:nvPicPr>
          <xdr:cNvPr id="3" name="Picture 1764"/>
          <xdr:cNvPicPr preferRelativeResize="1">
            <a:picLocks noChangeAspect="1"/>
          </xdr:cNvPicPr>
        </xdr:nvPicPr>
        <xdr:blipFill>
          <a:blip r:embed="rId1"/>
          <a:stretch>
            <a:fillRect/>
          </a:stretch>
        </xdr:blipFill>
        <xdr:spPr>
          <a:xfrm>
            <a:off x="612" y="854"/>
            <a:ext cx="1086" cy="1122"/>
          </a:xfrm>
          <a:prstGeom prst="rect">
            <a:avLst/>
          </a:prstGeom>
          <a:blipFill>
            <a:blip r:embed=""/>
            <a:srcRect/>
            <a:stretch>
              <a:fillRect/>
            </a:stretch>
          </a:blipFill>
          <a:ln w="9525" cmpd="sng">
            <a:noFill/>
          </a:ln>
        </xdr:spPr>
      </xdr:pic>
    </xdr:grpSp>
    <xdr:clientData/>
  </xdr:twoCellAnchor>
  <xdr:twoCellAnchor>
    <xdr:from>
      <xdr:col>26</xdr:col>
      <xdr:colOff>28575</xdr:colOff>
      <xdr:row>79</xdr:row>
      <xdr:rowOff>0</xdr:rowOff>
    </xdr:from>
    <xdr:to>
      <xdr:col>31</xdr:col>
      <xdr:colOff>171450</xdr:colOff>
      <xdr:row>79</xdr:row>
      <xdr:rowOff>0</xdr:rowOff>
    </xdr:to>
    <xdr:sp>
      <xdr:nvSpPr>
        <xdr:cNvPr id="4" name="Text Box 91"/>
        <xdr:cNvSpPr txBox="1">
          <a:spLocks noChangeArrowheads="1"/>
        </xdr:cNvSpPr>
      </xdr:nvSpPr>
      <xdr:spPr>
        <a:xfrm>
          <a:off x="17859375" y="13544550"/>
          <a:ext cx="35718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investment term T and the household Z parameter are computed by the Newton-Raphson method. Here the Euler iterations by which the system's state is advanced by one differential time element are also seen to provide the iterations by which T and Z converge to their values as implied by the system's state at a given moment t.</a:t>
          </a:r>
        </a:p>
      </xdr:txBody>
    </xdr:sp>
    <xdr:clientData/>
  </xdr:twoCellAnchor>
  <xdr:twoCellAnchor>
    <xdr:from>
      <xdr:col>3</xdr:col>
      <xdr:colOff>95250</xdr:colOff>
      <xdr:row>24</xdr:row>
      <xdr:rowOff>19050</xdr:rowOff>
    </xdr:from>
    <xdr:to>
      <xdr:col>10</xdr:col>
      <xdr:colOff>180975</xdr:colOff>
      <xdr:row>42</xdr:row>
      <xdr:rowOff>142875</xdr:rowOff>
    </xdr:to>
    <xdr:graphicFrame>
      <xdr:nvGraphicFramePr>
        <xdr:cNvPr id="5" name="Chart 1"/>
        <xdr:cNvGraphicFramePr/>
      </xdr:nvGraphicFramePr>
      <xdr:xfrm>
        <a:off x="2152650" y="4133850"/>
        <a:ext cx="4886325" cy="3209925"/>
      </xdr:xfrm>
      <a:graphic>
        <a:graphicData uri="http://schemas.openxmlformats.org/drawingml/2006/chart">
          <c:chart xmlns:c="http://schemas.openxmlformats.org/drawingml/2006/chart" r:id="rId2"/>
        </a:graphicData>
      </a:graphic>
    </xdr:graphicFrame>
    <xdr:clientData/>
  </xdr:twoCellAnchor>
  <xdr:twoCellAnchor>
    <xdr:from>
      <xdr:col>10</xdr:col>
      <xdr:colOff>200025</xdr:colOff>
      <xdr:row>23</xdr:row>
      <xdr:rowOff>142875</xdr:rowOff>
    </xdr:from>
    <xdr:to>
      <xdr:col>16</xdr:col>
      <xdr:colOff>552450</xdr:colOff>
      <xdr:row>43</xdr:row>
      <xdr:rowOff>95250</xdr:rowOff>
    </xdr:to>
    <xdr:graphicFrame>
      <xdr:nvGraphicFramePr>
        <xdr:cNvPr id="6" name="Chart 2"/>
        <xdr:cNvGraphicFramePr/>
      </xdr:nvGraphicFramePr>
      <xdr:xfrm>
        <a:off x="7058025" y="4086225"/>
        <a:ext cx="4467225" cy="3381375"/>
      </xdr:xfrm>
      <a:graphic>
        <a:graphicData uri="http://schemas.openxmlformats.org/drawingml/2006/chart">
          <c:chart xmlns:c="http://schemas.openxmlformats.org/drawingml/2006/chart" r:id="rId3"/>
        </a:graphicData>
      </a:graphic>
    </xdr:graphicFrame>
    <xdr:clientData/>
  </xdr:twoCellAnchor>
  <xdr:twoCellAnchor>
    <xdr:from>
      <xdr:col>10</xdr:col>
      <xdr:colOff>133350</xdr:colOff>
      <xdr:row>4</xdr:row>
      <xdr:rowOff>152400</xdr:rowOff>
    </xdr:from>
    <xdr:to>
      <xdr:col>17</xdr:col>
      <xdr:colOff>171450</xdr:colOff>
      <xdr:row>23</xdr:row>
      <xdr:rowOff>152400</xdr:rowOff>
    </xdr:to>
    <xdr:graphicFrame>
      <xdr:nvGraphicFramePr>
        <xdr:cNvPr id="7" name="Chart 3"/>
        <xdr:cNvGraphicFramePr/>
      </xdr:nvGraphicFramePr>
      <xdr:xfrm>
        <a:off x="6991350" y="838200"/>
        <a:ext cx="4838700" cy="3257550"/>
      </xdr:xfrm>
      <a:graphic>
        <a:graphicData uri="http://schemas.openxmlformats.org/drawingml/2006/chart">
          <c:chart xmlns:c="http://schemas.openxmlformats.org/drawingml/2006/chart" r:id="rId4"/>
        </a:graphicData>
      </a:graphic>
    </xdr:graphicFrame>
    <xdr:clientData/>
  </xdr:twoCellAnchor>
  <xdr:twoCellAnchor>
    <xdr:from>
      <xdr:col>3</xdr:col>
      <xdr:colOff>95250</xdr:colOff>
      <xdr:row>4</xdr:row>
      <xdr:rowOff>85725</xdr:rowOff>
    </xdr:from>
    <xdr:to>
      <xdr:col>10</xdr:col>
      <xdr:colOff>38100</xdr:colOff>
      <xdr:row>23</xdr:row>
      <xdr:rowOff>142875</xdr:rowOff>
    </xdr:to>
    <xdr:graphicFrame>
      <xdr:nvGraphicFramePr>
        <xdr:cNvPr id="8" name="Chart 5"/>
        <xdr:cNvGraphicFramePr/>
      </xdr:nvGraphicFramePr>
      <xdr:xfrm>
        <a:off x="2152650" y="771525"/>
        <a:ext cx="4743450" cy="3314700"/>
      </xdr:xfrm>
      <a:graphic>
        <a:graphicData uri="http://schemas.openxmlformats.org/drawingml/2006/chart">
          <c:chart xmlns:c="http://schemas.openxmlformats.org/drawingml/2006/chart" r:id="rId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0</xdr:col>
      <xdr:colOff>0</xdr:colOff>
      <xdr:row>21</xdr:row>
      <xdr:rowOff>0</xdr:rowOff>
    </xdr:to>
    <xdr:sp>
      <xdr:nvSpPr>
        <xdr:cNvPr id="1" name="Text Box 91"/>
        <xdr:cNvSpPr txBox="1">
          <a:spLocks noChangeArrowheads="1"/>
        </xdr:cNvSpPr>
      </xdr:nvSpPr>
      <xdr:spPr>
        <a:xfrm>
          <a:off x="0" y="3600450"/>
          <a:ext cx="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investment term T and the household Z parameter are computed by the Newton-Raphson method. Here the Euler iterations by which the system's state is advanced by one differential time element are also seen to provide the iterations by which T and Z converge to their values as implied by the system's state at a given moment t.</a:t>
          </a:r>
        </a:p>
      </xdr:txBody>
    </xdr:sp>
    <xdr:clientData fPrintsWithSheet="0"/>
  </xdr:twoCellAnchor>
  <xdr:twoCellAnchor>
    <xdr:from>
      <xdr:col>17</xdr:col>
      <xdr:colOff>628650</xdr:colOff>
      <xdr:row>6</xdr:row>
      <xdr:rowOff>161925</xdr:rowOff>
    </xdr:from>
    <xdr:to>
      <xdr:col>17</xdr:col>
      <xdr:colOff>628650</xdr:colOff>
      <xdr:row>43</xdr:row>
      <xdr:rowOff>133350</xdr:rowOff>
    </xdr:to>
    <xdr:sp>
      <xdr:nvSpPr>
        <xdr:cNvPr id="2" name="Line 42172"/>
        <xdr:cNvSpPr>
          <a:spLocks/>
        </xdr:cNvSpPr>
      </xdr:nvSpPr>
      <xdr:spPr>
        <a:xfrm rot="16200000">
          <a:off x="10496550" y="1190625"/>
          <a:ext cx="0" cy="6315075"/>
        </a:xfrm>
        <a:prstGeom prst="line">
          <a:avLst/>
        </a:prstGeom>
        <a:noFill/>
        <a:ln w="9360" cmpd="sng">
          <a:solidFill>
            <a:srgbClr val="800000"/>
          </a:solidFill>
          <a:headEnd type="none"/>
          <a:tailEnd type="none"/>
        </a:ln>
      </xdr:spPr>
      <xdr:txBody>
        <a:bodyPr vertOverflow="clip" wrap="square"/>
        <a:p>
          <a:pPr algn="l">
            <a:defRPr/>
          </a:pPr>
          <a:r>
            <a:rPr lang="en-US" cap="none" u="none" baseline="0">
              <a:latin typeface="Courier New"/>
              <a:ea typeface="Courier New"/>
              <a:cs typeface="Courier New"/>
            </a:rPr>
            <a:t/>
          </a:r>
        </a:p>
      </xdr:txBody>
    </xdr:sp>
    <xdr:clientData fPrintsWithSheet="0"/>
  </xdr:twoCellAnchor>
  <xdr:twoCellAnchor editAs="oneCell">
    <xdr:from>
      <xdr:col>33</xdr:col>
      <xdr:colOff>333375</xdr:colOff>
      <xdr:row>3</xdr:row>
      <xdr:rowOff>76200</xdr:rowOff>
    </xdr:from>
    <xdr:to>
      <xdr:col>39</xdr:col>
      <xdr:colOff>371475</xdr:colOff>
      <xdr:row>15</xdr:row>
      <xdr:rowOff>104775</xdr:rowOff>
    </xdr:to>
    <xdr:pic>
      <xdr:nvPicPr>
        <xdr:cNvPr id="3" name="Picture 1242" descr="Fig1"/>
        <xdr:cNvPicPr preferRelativeResize="1">
          <a:picLocks noChangeAspect="1"/>
        </xdr:cNvPicPr>
      </xdr:nvPicPr>
      <xdr:blipFill>
        <a:blip r:embed="rId1"/>
        <a:stretch>
          <a:fillRect/>
        </a:stretch>
      </xdr:blipFill>
      <xdr:spPr>
        <a:xfrm>
          <a:off x="18935700" y="590550"/>
          <a:ext cx="4152900" cy="2085975"/>
        </a:xfrm>
        <a:prstGeom prst="rect">
          <a:avLst/>
        </a:prstGeom>
        <a:noFill/>
        <a:ln w="9525" cmpd="sng">
          <a:noFill/>
        </a:ln>
      </xdr:spPr>
    </xdr:pic>
    <xdr:clientData/>
  </xdr:twoCellAnchor>
  <xdr:twoCellAnchor editAs="oneCell">
    <xdr:from>
      <xdr:col>33</xdr:col>
      <xdr:colOff>361950</xdr:colOff>
      <xdr:row>19</xdr:row>
      <xdr:rowOff>104775</xdr:rowOff>
    </xdr:from>
    <xdr:to>
      <xdr:col>40</xdr:col>
      <xdr:colOff>57150</xdr:colOff>
      <xdr:row>43</xdr:row>
      <xdr:rowOff>57150</xdr:rowOff>
    </xdr:to>
    <xdr:pic>
      <xdr:nvPicPr>
        <xdr:cNvPr id="4" name="Picture 1243" descr="Fig3"/>
        <xdr:cNvPicPr preferRelativeResize="1">
          <a:picLocks noChangeAspect="1"/>
        </xdr:cNvPicPr>
      </xdr:nvPicPr>
      <xdr:blipFill>
        <a:blip r:embed="rId2"/>
        <a:stretch>
          <a:fillRect/>
        </a:stretch>
      </xdr:blipFill>
      <xdr:spPr>
        <a:xfrm>
          <a:off x="18964275" y="3362325"/>
          <a:ext cx="4495800" cy="4067175"/>
        </a:xfrm>
        <a:prstGeom prst="rect">
          <a:avLst/>
        </a:prstGeom>
        <a:noFill/>
        <a:ln w="9525" cmpd="sng">
          <a:noFill/>
        </a:ln>
      </xdr:spPr>
    </xdr:pic>
    <xdr:clientData/>
  </xdr:twoCellAnchor>
  <xdr:twoCellAnchor>
    <xdr:from>
      <xdr:col>8</xdr:col>
      <xdr:colOff>647700</xdr:colOff>
      <xdr:row>6</xdr:row>
      <xdr:rowOff>161925</xdr:rowOff>
    </xdr:from>
    <xdr:to>
      <xdr:col>8</xdr:col>
      <xdr:colOff>647700</xdr:colOff>
      <xdr:row>35</xdr:row>
      <xdr:rowOff>152400</xdr:rowOff>
    </xdr:to>
    <xdr:sp>
      <xdr:nvSpPr>
        <xdr:cNvPr id="5" name="Line 42172"/>
        <xdr:cNvSpPr>
          <a:spLocks/>
        </xdr:cNvSpPr>
      </xdr:nvSpPr>
      <xdr:spPr>
        <a:xfrm rot="16200000">
          <a:off x="5238750" y="1190625"/>
          <a:ext cx="0" cy="4962525"/>
        </a:xfrm>
        <a:prstGeom prst="line">
          <a:avLst/>
        </a:prstGeom>
        <a:noFill/>
        <a:ln w="9360" cmpd="sng">
          <a:solidFill>
            <a:srgbClr val="800000"/>
          </a:solidFill>
          <a:headEnd type="none"/>
          <a:tailEnd type="none"/>
        </a:ln>
      </xdr:spPr>
      <xdr:txBody>
        <a:bodyPr vertOverflow="clip" wrap="square"/>
        <a:p>
          <a:pPr algn="l">
            <a:defRPr/>
          </a:pPr>
          <a:r>
            <a:rPr lang="en-US" cap="none" u="none" baseline="0">
              <a:latin typeface="Courier New"/>
              <a:ea typeface="Courier New"/>
              <a:cs typeface="Courier New"/>
            </a:rPr>
            <a:t/>
          </a:r>
        </a:p>
      </xdr:txBody>
    </xdr:sp>
    <xdr:clientData fPrintsWithSheet="0"/>
  </xdr:twoCellAnchor>
  <xdr:twoCellAnchor>
    <xdr:from>
      <xdr:col>0</xdr:col>
      <xdr:colOff>152400</xdr:colOff>
      <xdr:row>0</xdr:row>
      <xdr:rowOff>161925</xdr:rowOff>
    </xdr:from>
    <xdr:to>
      <xdr:col>2</xdr:col>
      <xdr:colOff>95250</xdr:colOff>
      <xdr:row>5</xdr:row>
      <xdr:rowOff>152400</xdr:rowOff>
    </xdr:to>
    <xdr:pic>
      <xdr:nvPicPr>
        <xdr:cNvPr id="6" name="Picture 2">
          <a:hlinkClick r:id="rId5"/>
        </xdr:cNvPr>
        <xdr:cNvPicPr preferRelativeResize="1">
          <a:picLocks noChangeAspect="1"/>
        </xdr:cNvPicPr>
      </xdr:nvPicPr>
      <xdr:blipFill>
        <a:blip r:embed="rId3"/>
        <a:stretch>
          <a:fillRect/>
        </a:stretch>
      </xdr:blipFill>
      <xdr:spPr>
        <a:xfrm>
          <a:off x="152400" y="161925"/>
          <a:ext cx="866775" cy="847725"/>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28575</xdr:colOff>
      <xdr:row>82</xdr:row>
      <xdr:rowOff>0</xdr:rowOff>
    </xdr:from>
    <xdr:to>
      <xdr:col>23</xdr:col>
      <xdr:colOff>171450</xdr:colOff>
      <xdr:row>82</xdr:row>
      <xdr:rowOff>0</xdr:rowOff>
    </xdr:to>
    <xdr:sp>
      <xdr:nvSpPr>
        <xdr:cNvPr id="1" name="Text Box 91"/>
        <xdr:cNvSpPr txBox="1">
          <a:spLocks noChangeArrowheads="1"/>
        </xdr:cNvSpPr>
      </xdr:nvSpPr>
      <xdr:spPr>
        <a:xfrm>
          <a:off x="9686925" y="14058900"/>
          <a:ext cx="31242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investment term T and the household Z parameter are computed by the Newton-Raphson method. Here the Euler iterations by which the system's state is advanced by one differential time element are also seen to provide the iterations by which T and Z converge to their values as implied by the system's state at a given moment t.</a:t>
          </a:r>
        </a:p>
      </xdr:txBody>
    </xdr:sp>
    <xdr:clientData fPrintsWithSheet="0"/>
  </xdr:twoCellAnchor>
  <xdr:twoCellAnchor>
    <xdr:from>
      <xdr:col>13</xdr:col>
      <xdr:colOff>352425</xdr:colOff>
      <xdr:row>12</xdr:row>
      <xdr:rowOff>85725</xdr:rowOff>
    </xdr:from>
    <xdr:to>
      <xdr:col>39</xdr:col>
      <xdr:colOff>228600</xdr:colOff>
      <xdr:row>105</xdr:row>
      <xdr:rowOff>104775</xdr:rowOff>
    </xdr:to>
    <xdr:grpSp>
      <xdr:nvGrpSpPr>
        <xdr:cNvPr id="2" name="Group 237"/>
        <xdr:cNvGrpSpPr>
          <a:grpSpLocks/>
        </xdr:cNvGrpSpPr>
      </xdr:nvGrpSpPr>
      <xdr:grpSpPr>
        <a:xfrm>
          <a:off x="7477125" y="2143125"/>
          <a:ext cx="14125575" cy="15963900"/>
          <a:chOff x="817" y="217"/>
          <a:chExt cx="1458" cy="1658"/>
        </a:xfrm>
        <a:solidFill>
          <a:srgbClr val="FFFFFF"/>
        </a:solidFill>
      </xdr:grpSpPr>
      <xdr:sp>
        <xdr:nvSpPr>
          <xdr:cNvPr id="3" name="Line 235"/>
          <xdr:cNvSpPr>
            <a:spLocks/>
          </xdr:cNvSpPr>
        </xdr:nvSpPr>
        <xdr:spPr>
          <a:xfrm>
            <a:off x="817" y="217"/>
            <a:ext cx="1458" cy="0"/>
          </a:xfrm>
          <a:prstGeom prst="line">
            <a:avLst/>
          </a:prstGeom>
          <a:noFill/>
          <a:ln w="9525" cmpd="sng">
            <a:solidFill>
              <a:srgbClr val="800000"/>
            </a:solidFill>
            <a:headEnd type="none"/>
            <a:tailEnd type="none"/>
          </a:ln>
        </xdr:spPr>
        <xdr:txBody>
          <a:bodyPr vertOverflow="clip" wrap="square"/>
          <a:p>
            <a:pPr algn="l">
              <a:defRPr/>
            </a:pPr>
            <a:r>
              <a:rPr lang="en-US" cap="none" u="none" baseline="0">
                <a:latin typeface="Courier New"/>
                <a:ea typeface="Courier New"/>
                <a:cs typeface="Courier New"/>
              </a:rPr>
              <a:t/>
            </a:r>
          </a:p>
        </xdr:txBody>
      </xdr:sp>
      <xdr:sp>
        <xdr:nvSpPr>
          <xdr:cNvPr id="4" name="Line 236"/>
          <xdr:cNvSpPr>
            <a:spLocks/>
          </xdr:cNvSpPr>
        </xdr:nvSpPr>
        <xdr:spPr>
          <a:xfrm>
            <a:off x="817" y="217"/>
            <a:ext cx="0" cy="1658"/>
          </a:xfrm>
          <a:prstGeom prst="line">
            <a:avLst/>
          </a:prstGeom>
          <a:noFill/>
          <a:ln w="9525" cmpd="sng">
            <a:solidFill>
              <a:srgbClr val="800000"/>
            </a:solidFill>
            <a:headEnd type="none"/>
            <a:tailEnd type="none"/>
          </a:ln>
        </xdr:spPr>
        <xdr:txBody>
          <a:bodyPr vertOverflow="clip" wrap="square"/>
          <a:p>
            <a:pPr algn="l">
              <a:defRPr/>
            </a:pPr>
            <a:r>
              <a:rPr lang="en-US" cap="none" u="none" baseline="0">
                <a:latin typeface="Courier New"/>
                <a:ea typeface="Courier New"/>
                <a:cs typeface="Courier New"/>
              </a:rPr>
              <a:t/>
            </a:r>
          </a:p>
        </xdr:txBody>
      </xdr:sp>
    </xdr:grpSp>
    <xdr:clientData/>
  </xdr:twoCellAnchor>
  <xdr:twoCellAnchor>
    <xdr:from>
      <xdr:col>0</xdr:col>
      <xdr:colOff>152400</xdr:colOff>
      <xdr:row>0</xdr:row>
      <xdr:rowOff>161925</xdr:rowOff>
    </xdr:from>
    <xdr:to>
      <xdr:col>1</xdr:col>
      <xdr:colOff>333375</xdr:colOff>
      <xdr:row>5</xdr:row>
      <xdr:rowOff>152400</xdr:rowOff>
    </xdr:to>
    <xdr:pic>
      <xdr:nvPicPr>
        <xdr:cNvPr id="5" name="Picture 2">
          <a:hlinkClick r:id="rId3"/>
        </xdr:cNvPr>
        <xdr:cNvPicPr preferRelativeResize="1">
          <a:picLocks noChangeAspect="1"/>
        </xdr:cNvPicPr>
      </xdr:nvPicPr>
      <xdr:blipFill>
        <a:blip r:embed="rId1"/>
        <a:stretch>
          <a:fillRect/>
        </a:stretch>
      </xdr:blipFill>
      <xdr:spPr>
        <a:xfrm>
          <a:off x="152400" y="161925"/>
          <a:ext cx="866775" cy="847725"/>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304800</xdr:colOff>
      <xdr:row>12</xdr:row>
      <xdr:rowOff>9525</xdr:rowOff>
    </xdr:from>
    <xdr:to>
      <xdr:col>13</xdr:col>
      <xdr:colOff>304800</xdr:colOff>
      <xdr:row>103</xdr:row>
      <xdr:rowOff>38100</xdr:rowOff>
    </xdr:to>
    <xdr:sp>
      <xdr:nvSpPr>
        <xdr:cNvPr id="1" name="Line 2316"/>
        <xdr:cNvSpPr>
          <a:spLocks/>
        </xdr:cNvSpPr>
      </xdr:nvSpPr>
      <xdr:spPr>
        <a:xfrm>
          <a:off x="7429500" y="2066925"/>
          <a:ext cx="0" cy="15630525"/>
        </a:xfrm>
        <a:prstGeom prst="line">
          <a:avLst/>
        </a:prstGeom>
        <a:noFill/>
        <a:ln w="9360" cmpd="sng">
          <a:solidFill>
            <a:srgbClr val="800000"/>
          </a:solidFill>
          <a:headEnd type="none"/>
          <a:tailEnd type="none"/>
        </a:ln>
      </xdr:spPr>
      <xdr:txBody>
        <a:bodyPr vertOverflow="clip" wrap="square"/>
        <a:p>
          <a:pPr algn="l">
            <a:defRPr/>
          </a:pPr>
          <a:r>
            <a:rPr lang="en-US" cap="none" u="none" baseline="0">
              <a:latin typeface="Courier New"/>
              <a:ea typeface="Courier New"/>
              <a:cs typeface="Courier New"/>
            </a:rPr>
            <a:t/>
          </a:r>
        </a:p>
      </xdr:txBody>
    </xdr:sp>
    <xdr:clientData/>
  </xdr:twoCellAnchor>
  <xdr:twoCellAnchor>
    <xdr:from>
      <xdr:col>13</xdr:col>
      <xdr:colOff>304800</xdr:colOff>
      <xdr:row>12</xdr:row>
      <xdr:rowOff>0</xdr:rowOff>
    </xdr:from>
    <xdr:to>
      <xdr:col>40</xdr:col>
      <xdr:colOff>114300</xdr:colOff>
      <xdr:row>12</xdr:row>
      <xdr:rowOff>0</xdr:rowOff>
    </xdr:to>
    <xdr:sp>
      <xdr:nvSpPr>
        <xdr:cNvPr id="2" name="Line 42172"/>
        <xdr:cNvSpPr>
          <a:spLocks/>
        </xdr:cNvSpPr>
      </xdr:nvSpPr>
      <xdr:spPr>
        <a:xfrm>
          <a:off x="7429500" y="2057400"/>
          <a:ext cx="14297025" cy="0"/>
        </a:xfrm>
        <a:prstGeom prst="line">
          <a:avLst/>
        </a:prstGeom>
        <a:noFill/>
        <a:ln w="9360" cmpd="sng">
          <a:solidFill>
            <a:srgbClr val="800000"/>
          </a:solidFill>
          <a:headEnd type="none"/>
          <a:tailEnd type="none"/>
        </a:ln>
      </xdr:spPr>
      <xdr:txBody>
        <a:bodyPr vertOverflow="clip" wrap="square"/>
        <a:p>
          <a:pPr algn="l">
            <a:defRPr/>
          </a:pPr>
          <a:r>
            <a:rPr lang="en-US" cap="none" u="none" baseline="0">
              <a:latin typeface="Courier New"/>
              <a:ea typeface="Courier New"/>
              <a:cs typeface="Courier New"/>
            </a:rPr>
            <a:t/>
          </a:r>
        </a:p>
      </xdr:txBody>
    </xdr:sp>
    <xdr:clientData fPrintsWithSheet="0"/>
  </xdr:twoCellAnchor>
  <xdr:twoCellAnchor>
    <xdr:from>
      <xdr:col>18</xdr:col>
      <xdr:colOff>28575</xdr:colOff>
      <xdr:row>82</xdr:row>
      <xdr:rowOff>0</xdr:rowOff>
    </xdr:from>
    <xdr:to>
      <xdr:col>23</xdr:col>
      <xdr:colOff>171450</xdr:colOff>
      <xdr:row>82</xdr:row>
      <xdr:rowOff>0</xdr:rowOff>
    </xdr:to>
    <xdr:sp>
      <xdr:nvSpPr>
        <xdr:cNvPr id="3" name="Text Box 91"/>
        <xdr:cNvSpPr txBox="1">
          <a:spLocks noChangeArrowheads="1"/>
        </xdr:cNvSpPr>
      </xdr:nvSpPr>
      <xdr:spPr>
        <a:xfrm>
          <a:off x="9686925" y="14058900"/>
          <a:ext cx="31242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investment term T and the household Z parameter are computed by the Newton-Raphson method. Here the Euler iterations by which the system's state is advanced by one differential time element are also seen to provide the iterations by which T and Z converge to their values as implied by the system's state at a given moment t.</a:t>
          </a:r>
        </a:p>
      </xdr:txBody>
    </xdr:sp>
    <xdr:clientData fPrintsWithSheet="0"/>
  </xdr:twoCellAnchor>
  <xdr:twoCellAnchor>
    <xdr:from>
      <xdr:col>0</xdr:col>
      <xdr:colOff>152400</xdr:colOff>
      <xdr:row>0</xdr:row>
      <xdr:rowOff>161925</xdr:rowOff>
    </xdr:from>
    <xdr:to>
      <xdr:col>1</xdr:col>
      <xdr:colOff>333375</xdr:colOff>
      <xdr:row>5</xdr:row>
      <xdr:rowOff>152400</xdr:rowOff>
    </xdr:to>
    <xdr:pic>
      <xdr:nvPicPr>
        <xdr:cNvPr id="4" name="Picture 2">
          <a:hlinkClick r:id="rId3"/>
        </xdr:cNvPr>
        <xdr:cNvPicPr preferRelativeResize="1">
          <a:picLocks noChangeAspect="1"/>
        </xdr:cNvPicPr>
      </xdr:nvPicPr>
      <xdr:blipFill>
        <a:blip r:embed="rId1"/>
        <a:stretch>
          <a:fillRect/>
        </a:stretch>
      </xdr:blipFill>
      <xdr:spPr>
        <a:xfrm>
          <a:off x="152400" y="161925"/>
          <a:ext cx="866775" cy="847725"/>
        </a:xfrm>
        <a:prstGeom prst="rect">
          <a:avLst/>
        </a:prstGeom>
        <a:blipFill>
          <a:blip r:embed=""/>
          <a:srcRect/>
          <a:stretch>
            <a:fillRect/>
          </a:stretch>
        </a:blip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xdr:row>
      <xdr:rowOff>95250</xdr:rowOff>
    </xdr:from>
    <xdr:to>
      <xdr:col>9</xdr:col>
      <xdr:colOff>228600</xdr:colOff>
      <xdr:row>21</xdr:row>
      <xdr:rowOff>38100</xdr:rowOff>
    </xdr:to>
    <xdr:sp>
      <xdr:nvSpPr>
        <xdr:cNvPr id="1" name="Rectangle 6"/>
        <xdr:cNvSpPr>
          <a:spLocks/>
        </xdr:cNvSpPr>
      </xdr:nvSpPr>
      <xdr:spPr>
        <a:xfrm>
          <a:off x="685800" y="781050"/>
          <a:ext cx="5172075" cy="2857500"/>
        </a:xfrm>
        <a:prstGeom prst="roundRect">
          <a:avLst/>
        </a:prstGeom>
        <a:noFill/>
        <a:ln w="9360" cmpd="sng">
          <a:solidFill>
            <a:srgbClr val="000000"/>
          </a:solidFill>
          <a:headEnd type="none"/>
          <a:tailEnd type="none"/>
        </a:ln>
      </xdr:spPr>
      <xdr:txBody>
        <a:bodyPr vertOverflow="clip" wrap="square"/>
        <a:p>
          <a:pPr algn="l">
            <a:defRPr/>
          </a:pPr>
          <a:r>
            <a:rPr lang="en-US" cap="none" u="none" baseline="0">
              <a:latin typeface="Courier New"/>
              <a:ea typeface="Courier New"/>
              <a:cs typeface="Courier New"/>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6</xdr:row>
      <xdr:rowOff>66675</xdr:rowOff>
    </xdr:from>
    <xdr:to>
      <xdr:col>10</xdr:col>
      <xdr:colOff>0</xdr:colOff>
      <xdr:row>21</xdr:row>
      <xdr:rowOff>28575</xdr:rowOff>
    </xdr:to>
    <xdr:sp>
      <xdr:nvSpPr>
        <xdr:cNvPr id="1" name="Rectangle 8"/>
        <xdr:cNvSpPr>
          <a:spLocks/>
        </xdr:cNvSpPr>
      </xdr:nvSpPr>
      <xdr:spPr>
        <a:xfrm>
          <a:off x="733425" y="1123950"/>
          <a:ext cx="5410200" cy="2533650"/>
        </a:xfrm>
        <a:prstGeom prst="roundRect">
          <a:avLst/>
        </a:prstGeom>
        <a:noFill/>
        <a:ln w="9360" cmpd="sng">
          <a:solidFill>
            <a:srgbClr val="000000"/>
          </a:solidFill>
          <a:headEnd type="none"/>
          <a:tailEnd type="none"/>
        </a:ln>
      </xdr:spPr>
      <xdr:txBody>
        <a:bodyPr vertOverflow="clip" wrap="square"/>
        <a:p>
          <a:pPr algn="l">
            <a:defRPr/>
          </a:pPr>
          <a:r>
            <a:rPr lang="en-US" cap="none" u="none" baseline="0">
              <a:latin typeface="Courier New"/>
              <a:ea typeface="Courier New"/>
              <a:cs typeface="Courier New"/>
            </a:rPr>
            <a:t/>
          </a:r>
        </a:p>
      </xdr:txBody>
    </xdr:sp>
    <xdr:clientData/>
  </xdr:twoCellAnchor>
  <xdr:twoCellAnchor>
    <xdr:from>
      <xdr:col>10</xdr:col>
      <xdr:colOff>419100</xdr:colOff>
      <xdr:row>4</xdr:row>
      <xdr:rowOff>0</xdr:rowOff>
    </xdr:from>
    <xdr:to>
      <xdr:col>10</xdr:col>
      <xdr:colOff>419100</xdr:colOff>
      <xdr:row>51</xdr:row>
      <xdr:rowOff>85725</xdr:rowOff>
    </xdr:to>
    <xdr:sp>
      <xdr:nvSpPr>
        <xdr:cNvPr id="2" name="Line 5"/>
        <xdr:cNvSpPr>
          <a:spLocks/>
        </xdr:cNvSpPr>
      </xdr:nvSpPr>
      <xdr:spPr>
        <a:xfrm>
          <a:off x="6562725" y="714375"/>
          <a:ext cx="0" cy="8143875"/>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Courier New"/>
              <a:ea typeface="Courier New"/>
              <a:cs typeface="Courier New"/>
            </a:rPr>
            <a:t/>
          </a:r>
        </a:p>
      </xdr:txBody>
    </xdr:sp>
    <xdr:clientData/>
  </xdr:twoCellAnchor>
  <xdr:twoCellAnchor>
    <xdr:from>
      <xdr:col>10</xdr:col>
      <xdr:colOff>600075</xdr:colOff>
      <xdr:row>19</xdr:row>
      <xdr:rowOff>66675</xdr:rowOff>
    </xdr:from>
    <xdr:to>
      <xdr:col>19</xdr:col>
      <xdr:colOff>314325</xdr:colOff>
      <xdr:row>19</xdr:row>
      <xdr:rowOff>66675</xdr:rowOff>
    </xdr:to>
    <xdr:sp>
      <xdr:nvSpPr>
        <xdr:cNvPr id="3" name="Line 6"/>
        <xdr:cNvSpPr>
          <a:spLocks/>
        </xdr:cNvSpPr>
      </xdr:nvSpPr>
      <xdr:spPr>
        <a:xfrm>
          <a:off x="6743700" y="3352800"/>
          <a:ext cx="56292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Courier New"/>
              <a:ea typeface="Courier New"/>
              <a:cs typeface="Courier New"/>
            </a:rPr>
            <a:t/>
          </a:r>
        </a:p>
      </xdr:txBody>
    </xdr:sp>
    <xdr:clientData/>
  </xdr:twoCellAnchor>
  <xdr:twoCellAnchor>
    <xdr:from>
      <xdr:col>10</xdr:col>
      <xdr:colOff>600075</xdr:colOff>
      <xdr:row>35</xdr:row>
      <xdr:rowOff>95250</xdr:rowOff>
    </xdr:from>
    <xdr:to>
      <xdr:col>19</xdr:col>
      <xdr:colOff>314325</xdr:colOff>
      <xdr:row>35</xdr:row>
      <xdr:rowOff>95250</xdr:rowOff>
    </xdr:to>
    <xdr:sp>
      <xdr:nvSpPr>
        <xdr:cNvPr id="4" name="Line 7"/>
        <xdr:cNvSpPr>
          <a:spLocks/>
        </xdr:cNvSpPr>
      </xdr:nvSpPr>
      <xdr:spPr>
        <a:xfrm>
          <a:off x="6743700" y="6124575"/>
          <a:ext cx="56292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Courier New"/>
              <a:ea typeface="Courier New"/>
              <a:cs typeface="Courier New"/>
            </a:rPr>
            <a:t/>
          </a:r>
        </a:p>
      </xdr:txBody>
    </xdr:sp>
    <xdr:clientData/>
  </xdr:twoCellAnchor>
  <xdr:twoCellAnchor editAs="oneCell">
    <xdr:from>
      <xdr:col>2</xdr:col>
      <xdr:colOff>142875</xdr:colOff>
      <xdr:row>45</xdr:row>
      <xdr:rowOff>9525</xdr:rowOff>
    </xdr:from>
    <xdr:to>
      <xdr:col>8</xdr:col>
      <xdr:colOff>295275</xdr:colOff>
      <xdr:row>48</xdr:row>
      <xdr:rowOff>76200</xdr:rowOff>
    </xdr:to>
    <xdr:pic>
      <xdr:nvPicPr>
        <xdr:cNvPr id="5" name="Picture 10" descr="Eqa01"/>
        <xdr:cNvPicPr preferRelativeResize="1">
          <a:picLocks noChangeAspect="1"/>
        </xdr:cNvPicPr>
      </xdr:nvPicPr>
      <xdr:blipFill>
        <a:blip r:embed="rId1"/>
        <a:stretch>
          <a:fillRect/>
        </a:stretch>
      </xdr:blipFill>
      <xdr:spPr>
        <a:xfrm>
          <a:off x="1333500" y="7753350"/>
          <a:ext cx="3790950" cy="581025"/>
        </a:xfrm>
        <a:prstGeom prst="rect">
          <a:avLst/>
        </a:prstGeom>
        <a:noFill/>
        <a:ln w="9525" cmpd="sng">
          <a:noFill/>
        </a:ln>
      </xdr:spPr>
    </xdr:pic>
    <xdr:clientData/>
  </xdr:twoCellAnchor>
  <xdr:twoCellAnchor editAs="oneCell">
    <xdr:from>
      <xdr:col>1</xdr:col>
      <xdr:colOff>695325</xdr:colOff>
      <xdr:row>37</xdr:row>
      <xdr:rowOff>47625</xdr:rowOff>
    </xdr:from>
    <xdr:to>
      <xdr:col>9</xdr:col>
      <xdr:colOff>209550</xdr:colOff>
      <xdr:row>42</xdr:row>
      <xdr:rowOff>28575</xdr:rowOff>
    </xdr:to>
    <xdr:pic>
      <xdr:nvPicPr>
        <xdr:cNvPr id="6" name="Picture 11" descr="Eqa13"/>
        <xdr:cNvPicPr preferRelativeResize="1">
          <a:picLocks noChangeAspect="1"/>
        </xdr:cNvPicPr>
      </xdr:nvPicPr>
      <xdr:blipFill>
        <a:blip r:embed="rId2"/>
        <a:stretch>
          <a:fillRect/>
        </a:stretch>
      </xdr:blipFill>
      <xdr:spPr>
        <a:xfrm>
          <a:off x="1162050" y="6419850"/>
          <a:ext cx="4533900" cy="838200"/>
        </a:xfrm>
        <a:prstGeom prst="rect">
          <a:avLst/>
        </a:prstGeom>
        <a:noFill/>
        <a:ln w="9525" cmpd="sng">
          <a:noFill/>
        </a:ln>
      </xdr:spPr>
    </xdr:pic>
    <xdr:clientData/>
  </xdr:twoCellAnchor>
  <xdr:twoCellAnchor editAs="oneCell">
    <xdr:from>
      <xdr:col>21</xdr:col>
      <xdr:colOff>428625</xdr:colOff>
      <xdr:row>4</xdr:row>
      <xdr:rowOff>19050</xdr:rowOff>
    </xdr:from>
    <xdr:to>
      <xdr:col>28</xdr:col>
      <xdr:colOff>447675</xdr:colOff>
      <xdr:row>23</xdr:row>
      <xdr:rowOff>114300</xdr:rowOff>
    </xdr:to>
    <xdr:pic>
      <xdr:nvPicPr>
        <xdr:cNvPr id="7" name="Picture 12" descr="HYPER0"/>
        <xdr:cNvPicPr preferRelativeResize="1">
          <a:picLocks noChangeAspect="1"/>
        </xdr:cNvPicPr>
      </xdr:nvPicPr>
      <xdr:blipFill>
        <a:blip r:embed="rId3"/>
        <a:stretch>
          <a:fillRect/>
        </a:stretch>
      </xdr:blipFill>
      <xdr:spPr>
        <a:xfrm>
          <a:off x="13801725" y="733425"/>
          <a:ext cx="4676775" cy="3352800"/>
        </a:xfrm>
        <a:prstGeom prst="rect">
          <a:avLst/>
        </a:prstGeom>
        <a:noFill/>
        <a:ln w="9525" cmpd="sng">
          <a:noFill/>
        </a:ln>
      </xdr:spPr>
    </xdr:pic>
    <xdr:clientData/>
  </xdr:twoCellAnchor>
  <xdr:twoCellAnchor editAs="oneCell">
    <xdr:from>
      <xdr:col>21</xdr:col>
      <xdr:colOff>361950</xdr:colOff>
      <xdr:row>29</xdr:row>
      <xdr:rowOff>57150</xdr:rowOff>
    </xdr:from>
    <xdr:to>
      <xdr:col>28</xdr:col>
      <xdr:colOff>390525</xdr:colOff>
      <xdr:row>51</xdr:row>
      <xdr:rowOff>0</xdr:rowOff>
    </xdr:to>
    <xdr:pic>
      <xdr:nvPicPr>
        <xdr:cNvPr id="8" name="Picture 21" descr="HSHLD"/>
        <xdr:cNvPicPr preferRelativeResize="1">
          <a:picLocks noChangeAspect="1"/>
        </xdr:cNvPicPr>
      </xdr:nvPicPr>
      <xdr:blipFill>
        <a:blip r:embed="rId4"/>
        <a:stretch>
          <a:fillRect/>
        </a:stretch>
      </xdr:blipFill>
      <xdr:spPr>
        <a:xfrm>
          <a:off x="13735050" y="5057775"/>
          <a:ext cx="4686300" cy="3714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657225</xdr:colOff>
      <xdr:row>6</xdr:row>
      <xdr:rowOff>19050</xdr:rowOff>
    </xdr:from>
    <xdr:to>
      <xdr:col>11</xdr:col>
      <xdr:colOff>0</xdr:colOff>
      <xdr:row>15</xdr:row>
      <xdr:rowOff>66675</xdr:rowOff>
    </xdr:to>
    <xdr:sp>
      <xdr:nvSpPr>
        <xdr:cNvPr id="1" name="Rectangle 6"/>
        <xdr:cNvSpPr>
          <a:spLocks/>
        </xdr:cNvSpPr>
      </xdr:nvSpPr>
      <xdr:spPr>
        <a:xfrm>
          <a:off x="657225" y="1047750"/>
          <a:ext cx="5648325" cy="1590675"/>
        </a:xfrm>
        <a:prstGeom prst="roundRect">
          <a:avLst/>
        </a:prstGeom>
        <a:noFill/>
        <a:ln w="9360" cmpd="sng">
          <a:solidFill>
            <a:srgbClr val="000000"/>
          </a:solidFill>
          <a:headEnd type="none"/>
          <a:tailEnd type="none"/>
        </a:ln>
      </xdr:spPr>
      <xdr:txBody>
        <a:bodyPr vertOverflow="clip" wrap="square"/>
        <a:p>
          <a:pPr algn="l">
            <a:defRPr/>
          </a:pPr>
          <a:r>
            <a:rPr lang="en-US" cap="none" u="none" baseline="0">
              <a:latin typeface="Courier New"/>
              <a:ea typeface="Courier New"/>
              <a:cs typeface="Courier New"/>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2.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3.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4.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A1"/>
  <sheetViews>
    <sheetView showGridLines="0" tabSelected="1" zoomScalePageLayoutView="0" workbookViewId="0" topLeftCell="A1">
      <selection activeCell="A1" sqref="A1"/>
    </sheetView>
  </sheetViews>
  <sheetFormatPr defaultColWidth="9.00390625" defaultRowHeight="13.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r:id="rId2"/>
  <drawing r:id="rId1"/>
</worksheet>
</file>

<file path=xl/worksheets/sheet10.xml><?xml version="1.0" encoding="utf-8"?>
<worksheet xmlns="http://schemas.openxmlformats.org/spreadsheetml/2006/main" xmlns:r="http://schemas.openxmlformats.org/officeDocument/2006/relationships">
  <sheetPr codeName="Sheet2"/>
  <dimension ref="A1:A1"/>
  <sheetViews>
    <sheetView showGridLines="0" zoomScalePageLayoutView="0" workbookViewId="0" topLeftCell="A1">
      <selection activeCell="A1" sqref="A1"/>
    </sheetView>
  </sheetViews>
  <sheetFormatPr defaultColWidth="10.75390625" defaultRowHeight="13.5"/>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11.xml><?xml version="1.0" encoding="utf-8"?>
<worksheet xmlns="http://schemas.openxmlformats.org/spreadsheetml/2006/main" xmlns:r="http://schemas.openxmlformats.org/officeDocument/2006/relationships">
  <sheetPr codeName="Sheet6"/>
  <dimension ref="A1:A1"/>
  <sheetViews>
    <sheetView showGridLines="0" zoomScalePageLayoutView="0" workbookViewId="0" topLeftCell="A1">
      <selection activeCell="A1" sqref="A1"/>
    </sheetView>
  </sheetViews>
  <sheetFormatPr defaultColWidth="10.75390625" defaultRowHeight="13.5"/>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codeName="Sheet31">
    <pageSetUpPr fitToPage="1"/>
  </sheetPr>
  <dimension ref="A1:BC190"/>
  <sheetViews>
    <sheetView showGridLines="0" zoomScalePageLayoutView="0" workbookViewId="0" topLeftCell="A1">
      <selection activeCell="C26" sqref="C26"/>
    </sheetView>
  </sheetViews>
  <sheetFormatPr defaultColWidth="9.625" defaultRowHeight="13.5"/>
  <cols>
    <col min="1" max="3" width="9.00390625" style="0" customWidth="1"/>
    <col min="4" max="8" width="9.00390625" style="310" customWidth="1"/>
    <col min="9" max="41" width="9.00390625" style="0" customWidth="1"/>
    <col min="42" max="42" width="3.125" style="0" customWidth="1"/>
    <col min="43" max="45" width="9.00390625" style="0" customWidth="1"/>
    <col min="46" max="46" width="4.75390625" style="0" customWidth="1"/>
    <col min="47" max="53" width="9.00390625" style="0" customWidth="1"/>
    <col min="54" max="54" width="4.50390625" style="0" customWidth="1"/>
    <col min="55" max="61" width="9.00390625" style="0" customWidth="1"/>
    <col min="62" max="62" width="5.00390625" style="0" customWidth="1"/>
    <col min="63" max="68" width="9.00390625" style="0" customWidth="1"/>
  </cols>
  <sheetData>
    <row r="1" spans="1:41" ht="13.5">
      <c r="A1" s="246"/>
      <c r="B1" s="246"/>
      <c r="C1" s="246"/>
      <c r="D1" s="1"/>
      <c r="E1" s="102"/>
      <c r="F1" s="103"/>
      <c r="G1" s="103"/>
      <c r="H1" s="103"/>
      <c r="I1" s="103"/>
      <c r="J1" s="103"/>
      <c r="K1" s="103"/>
      <c r="L1" s="103"/>
      <c r="M1" s="103"/>
      <c r="N1" s="103"/>
      <c r="O1" s="103"/>
      <c r="P1" s="103"/>
      <c r="Q1" s="103"/>
      <c r="R1" s="103"/>
      <c r="S1" s="1"/>
      <c r="T1" s="1"/>
      <c r="U1" s="246"/>
      <c r="V1" s="246"/>
      <c r="W1" s="246"/>
      <c r="X1" s="246"/>
      <c r="Y1" s="246"/>
      <c r="Z1" s="246"/>
      <c r="AA1" s="246"/>
      <c r="AB1" s="246"/>
      <c r="AC1" s="246"/>
      <c r="AD1" s="246"/>
      <c r="AE1" s="246"/>
      <c r="AF1" s="246"/>
      <c r="AG1" s="246"/>
      <c r="AH1" s="246"/>
      <c r="AI1" s="246"/>
      <c r="AJ1" s="246"/>
      <c r="AK1" s="246"/>
      <c r="AL1" s="246"/>
      <c r="AM1" s="246"/>
      <c r="AN1" s="246"/>
      <c r="AO1" s="246"/>
    </row>
    <row r="2" spans="1:41" s="2" customFormat="1" ht="13.5" customHeight="1">
      <c r="A2" s="4"/>
      <c r="B2" s="4"/>
      <c r="C2" s="4"/>
      <c r="D2" s="1"/>
      <c r="E2" s="103"/>
      <c r="F2" s="103"/>
      <c r="G2" s="103"/>
      <c r="H2" s="103"/>
      <c r="I2" s="103"/>
      <c r="J2" s="103"/>
      <c r="K2" s="103"/>
      <c r="L2" s="103"/>
      <c r="M2" s="103"/>
      <c r="N2" s="103"/>
      <c r="O2" s="103"/>
      <c r="P2" s="103"/>
      <c r="Q2" s="103"/>
      <c r="R2" s="1"/>
      <c r="S2" s="1"/>
      <c r="T2" s="1"/>
      <c r="U2" s="294"/>
      <c r="V2" s="294"/>
      <c r="W2" s="294"/>
      <c r="X2" s="294"/>
      <c r="Y2" s="294"/>
      <c r="Z2" s="294"/>
      <c r="AA2" s="294"/>
      <c r="AB2" s="294"/>
      <c r="AC2" s="294"/>
      <c r="AD2" s="294"/>
      <c r="AE2" s="294"/>
      <c r="AF2" s="294"/>
      <c r="AG2" s="294"/>
      <c r="AH2" s="294"/>
      <c r="AI2" s="294"/>
      <c r="AJ2" s="294"/>
      <c r="AK2" s="294"/>
      <c r="AL2" s="294"/>
      <c r="AM2" s="294"/>
      <c r="AN2" s="294"/>
      <c r="AO2" s="294"/>
    </row>
    <row r="3" spans="1:41" s="2" customFormat="1" ht="13.5" customHeight="1">
      <c r="A3" s="4"/>
      <c r="B3" s="4"/>
      <c r="C3" s="4"/>
      <c r="D3" s="1"/>
      <c r="E3" s="103"/>
      <c r="F3" s="104" t="s">
        <v>30</v>
      </c>
      <c r="G3" s="1"/>
      <c r="H3" s="103"/>
      <c r="I3" s="103"/>
      <c r="J3" s="103"/>
      <c r="K3" s="103"/>
      <c r="L3" s="103"/>
      <c r="M3" s="104" t="s">
        <v>31</v>
      </c>
      <c r="N3" s="1"/>
      <c r="O3" s="103"/>
      <c r="P3" s="103"/>
      <c r="Q3" s="103"/>
      <c r="R3" s="1"/>
      <c r="S3" s="1"/>
      <c r="T3" s="1"/>
      <c r="U3" s="294"/>
      <c r="V3" s="294"/>
      <c r="W3" s="294"/>
      <c r="X3" s="294"/>
      <c r="Y3" s="294"/>
      <c r="Z3" s="294"/>
      <c r="AA3" s="294"/>
      <c r="AB3" s="294"/>
      <c r="AC3" s="294"/>
      <c r="AD3" s="294"/>
      <c r="AE3" s="294"/>
      <c r="AF3" s="294"/>
      <c r="AG3" s="294"/>
      <c r="AH3" s="294"/>
      <c r="AI3" s="294"/>
      <c r="AJ3" s="294"/>
      <c r="AK3" s="294"/>
      <c r="AL3" s="294"/>
      <c r="AM3" s="294"/>
      <c r="AN3" s="294"/>
      <c r="AO3" s="294"/>
    </row>
    <row r="4" spans="1:41" s="2" customFormat="1" ht="13.5" customHeight="1">
      <c r="A4" s="4"/>
      <c r="B4" s="4"/>
      <c r="C4" s="4"/>
      <c r="D4" s="1"/>
      <c r="E4" s="103"/>
      <c r="F4" s="104" t="s">
        <v>32</v>
      </c>
      <c r="G4" s="1"/>
      <c r="H4" s="105"/>
      <c r="I4" s="105"/>
      <c r="J4" s="105"/>
      <c r="K4" s="103"/>
      <c r="L4" s="103"/>
      <c r="M4" s="104" t="s">
        <v>33</v>
      </c>
      <c r="N4" s="1"/>
      <c r="O4" s="103"/>
      <c r="P4" s="103"/>
      <c r="Q4" s="103"/>
      <c r="R4" s="1"/>
      <c r="S4" s="1"/>
      <c r="T4" s="1"/>
      <c r="U4" s="294"/>
      <c r="V4" s="294"/>
      <c r="W4" s="294"/>
      <c r="X4" s="294"/>
      <c r="Y4" s="294"/>
      <c r="Z4" s="294"/>
      <c r="AA4" s="294"/>
      <c r="AB4" s="294"/>
      <c r="AC4" s="294"/>
      <c r="AD4" s="294"/>
      <c r="AE4" s="294"/>
      <c r="AF4" s="294"/>
      <c r="AG4" s="294"/>
      <c r="AH4" s="294"/>
      <c r="AI4" s="294"/>
      <c r="AJ4" s="294"/>
      <c r="AK4" s="294"/>
      <c r="AL4" s="294"/>
      <c r="AM4" s="294"/>
      <c r="AN4" s="294"/>
      <c r="AO4" s="294"/>
    </row>
    <row r="5" spans="1:41" s="2" customFormat="1" ht="13.5" customHeight="1">
      <c r="A5" s="4"/>
      <c r="B5" s="4"/>
      <c r="C5" s="4"/>
      <c r="D5" s="1"/>
      <c r="E5" s="103"/>
      <c r="F5" s="103"/>
      <c r="G5" s="103"/>
      <c r="H5" s="103"/>
      <c r="I5" s="103"/>
      <c r="J5" s="103"/>
      <c r="K5" s="103"/>
      <c r="L5" s="103"/>
      <c r="M5" s="103"/>
      <c r="N5" s="103"/>
      <c r="O5" s="103"/>
      <c r="P5" s="103"/>
      <c r="Q5" s="103"/>
      <c r="R5" s="1"/>
      <c r="S5" s="1"/>
      <c r="T5" s="1"/>
      <c r="U5" s="294"/>
      <c r="V5" s="294"/>
      <c r="W5" s="294"/>
      <c r="X5" s="294"/>
      <c r="Y5" s="294"/>
      <c r="Z5" s="294"/>
      <c r="AA5" s="294"/>
      <c r="AB5" s="294"/>
      <c r="AC5" s="294"/>
      <c r="AD5" s="294"/>
      <c r="AE5" s="294"/>
      <c r="AF5" s="294"/>
      <c r="AG5" s="294"/>
      <c r="AH5" s="294"/>
      <c r="AI5" s="294"/>
      <c r="AJ5" s="294"/>
      <c r="AK5" s="294"/>
      <c r="AL5" s="294"/>
      <c r="AM5" s="294"/>
      <c r="AN5" s="294"/>
      <c r="AO5" s="294"/>
    </row>
    <row r="6" spans="1:41" s="2" customFormat="1" ht="13.5" customHeight="1">
      <c r="A6" s="4"/>
      <c r="B6" s="4"/>
      <c r="C6" s="15"/>
      <c r="D6" s="1"/>
      <c r="E6" s="103"/>
      <c r="F6" s="103"/>
      <c r="G6" s="103"/>
      <c r="H6" s="103"/>
      <c r="I6" s="103"/>
      <c r="J6" s="103"/>
      <c r="K6" s="103"/>
      <c r="L6" s="103"/>
      <c r="M6" s="103"/>
      <c r="N6" s="103"/>
      <c r="O6" s="103"/>
      <c r="P6" s="103"/>
      <c r="Q6" s="103"/>
      <c r="R6" s="1"/>
      <c r="S6" s="1"/>
      <c r="T6" s="1"/>
      <c r="U6" s="294"/>
      <c r="V6" s="294"/>
      <c r="W6" s="294"/>
      <c r="X6" s="294"/>
      <c r="Y6" s="294"/>
      <c r="Z6" s="294"/>
      <c r="AA6" s="294"/>
      <c r="AB6" s="294"/>
      <c r="AC6" s="294"/>
      <c r="AD6" s="294"/>
      <c r="AE6" s="294"/>
      <c r="AF6" s="294"/>
      <c r="AG6" s="294"/>
      <c r="AH6" s="294"/>
      <c r="AI6" s="294"/>
      <c r="AJ6" s="294"/>
      <c r="AK6" s="294"/>
      <c r="AL6" s="294"/>
      <c r="AM6" s="294"/>
      <c r="AN6" s="294"/>
      <c r="AO6" s="294"/>
    </row>
    <row r="7" spans="1:41" s="2" customFormat="1" ht="13.5" customHeight="1">
      <c r="A7" s="4"/>
      <c r="B7" s="4"/>
      <c r="C7" s="4"/>
      <c r="D7" s="1"/>
      <c r="E7" s="103"/>
      <c r="F7" s="103"/>
      <c r="G7" s="103"/>
      <c r="H7" s="103"/>
      <c r="I7" s="103"/>
      <c r="J7" s="103"/>
      <c r="K7" s="103"/>
      <c r="L7" s="103"/>
      <c r="M7" s="103"/>
      <c r="N7" s="103"/>
      <c r="O7" s="103"/>
      <c r="P7" s="103"/>
      <c r="Q7" s="103"/>
      <c r="R7" s="1"/>
      <c r="S7" s="1"/>
      <c r="T7" s="1"/>
      <c r="U7" s="294"/>
      <c r="V7" s="294"/>
      <c r="W7" s="294"/>
      <c r="X7" s="294"/>
      <c r="Y7" s="294"/>
      <c r="Z7" s="294"/>
      <c r="AA7" s="294"/>
      <c r="AB7" s="294"/>
      <c r="AC7" s="294"/>
      <c r="AD7" s="294"/>
      <c r="AE7" s="294"/>
      <c r="AF7" s="294"/>
      <c r="AG7" s="294"/>
      <c r="AH7" s="294"/>
      <c r="AI7" s="294"/>
      <c r="AJ7" s="294"/>
      <c r="AK7" s="294"/>
      <c r="AL7" s="294"/>
      <c r="AM7" s="294"/>
      <c r="AN7" s="294"/>
      <c r="AO7" s="294"/>
    </row>
    <row r="8" spans="1:41" s="2" customFormat="1" ht="13.5" customHeight="1">
      <c r="A8" s="4"/>
      <c r="B8" s="15"/>
      <c r="C8" s="4"/>
      <c r="D8" s="1"/>
      <c r="E8" s="103"/>
      <c r="F8" s="103"/>
      <c r="G8" s="103"/>
      <c r="H8" s="103"/>
      <c r="I8" s="103"/>
      <c r="J8" s="103"/>
      <c r="K8" s="103"/>
      <c r="L8" s="103"/>
      <c r="M8" s="103"/>
      <c r="N8" s="103"/>
      <c r="O8" s="103"/>
      <c r="P8" s="103"/>
      <c r="Q8" s="103"/>
      <c r="R8" s="1"/>
      <c r="S8" s="1"/>
      <c r="T8" s="1"/>
      <c r="U8" s="294"/>
      <c r="V8" s="294"/>
      <c r="W8" s="294"/>
      <c r="X8" s="294"/>
      <c r="Y8" s="294"/>
      <c r="Z8" s="294"/>
      <c r="AA8" s="294"/>
      <c r="AB8" s="294"/>
      <c r="AC8" s="294"/>
      <c r="AD8" s="294"/>
      <c r="AE8" s="294"/>
      <c r="AF8" s="294"/>
      <c r="AG8" s="294"/>
      <c r="AH8" s="294"/>
      <c r="AI8" s="294"/>
      <c r="AJ8" s="294"/>
      <c r="AK8" s="294"/>
      <c r="AL8" s="294"/>
      <c r="AM8" s="294"/>
      <c r="AN8" s="294"/>
      <c r="AO8" s="294"/>
    </row>
    <row r="9" spans="1:41" s="2" customFormat="1" ht="13.5" customHeight="1">
      <c r="A9" s="4"/>
      <c r="B9" s="4"/>
      <c r="C9" s="4"/>
      <c r="D9" s="1"/>
      <c r="E9" s="103"/>
      <c r="F9" s="103"/>
      <c r="G9" s="103"/>
      <c r="H9" s="103"/>
      <c r="I9" s="103"/>
      <c r="J9" s="103"/>
      <c r="K9" s="103"/>
      <c r="L9" s="103"/>
      <c r="M9" s="103"/>
      <c r="N9" s="103"/>
      <c r="O9" s="103"/>
      <c r="P9" s="103"/>
      <c r="Q9" s="103"/>
      <c r="R9" s="1"/>
      <c r="S9" s="1"/>
      <c r="T9" s="1"/>
      <c r="U9" s="294"/>
      <c r="V9" s="294"/>
      <c r="W9" s="294"/>
      <c r="X9" s="294"/>
      <c r="Y9" s="294"/>
      <c r="Z9" s="294"/>
      <c r="AA9" s="294"/>
      <c r="AB9" s="294"/>
      <c r="AC9" s="294"/>
      <c r="AD9" s="294"/>
      <c r="AE9" s="294"/>
      <c r="AF9" s="294"/>
      <c r="AG9" s="294"/>
      <c r="AH9" s="294"/>
      <c r="AI9" s="294"/>
      <c r="AJ9" s="294"/>
      <c r="AK9" s="294"/>
      <c r="AL9" s="294"/>
      <c r="AM9" s="294"/>
      <c r="AN9" s="294"/>
      <c r="AO9" s="294"/>
    </row>
    <row r="10" spans="1:41" s="2" customFormat="1" ht="13.5" customHeight="1">
      <c r="A10" s="4"/>
      <c r="B10" s="4"/>
      <c r="C10" s="4"/>
      <c r="D10" s="1"/>
      <c r="E10" s="103"/>
      <c r="F10" s="103"/>
      <c r="G10" s="103"/>
      <c r="H10" s="103"/>
      <c r="I10" s="103"/>
      <c r="J10" s="103"/>
      <c r="K10" s="103"/>
      <c r="L10" s="103"/>
      <c r="M10" s="103"/>
      <c r="N10" s="103"/>
      <c r="O10" s="103"/>
      <c r="P10" s="103"/>
      <c r="Q10" s="103"/>
      <c r="R10" s="1"/>
      <c r="S10" s="1"/>
      <c r="T10" s="1"/>
      <c r="U10" s="294"/>
      <c r="V10" s="294"/>
      <c r="W10" s="294"/>
      <c r="X10" s="294"/>
      <c r="Y10" s="294"/>
      <c r="Z10" s="294"/>
      <c r="AA10" s="294"/>
      <c r="AB10" s="294"/>
      <c r="AC10" s="294"/>
      <c r="AD10" s="294"/>
      <c r="AE10" s="294"/>
      <c r="AF10" s="294"/>
      <c r="AG10" s="294"/>
      <c r="AH10" s="294"/>
      <c r="AI10" s="294"/>
      <c r="AJ10" s="294"/>
      <c r="AK10" s="294"/>
      <c r="AL10" s="294"/>
      <c r="AM10" s="294"/>
      <c r="AN10" s="294"/>
      <c r="AO10" s="294"/>
    </row>
    <row r="11" spans="1:41" s="2" customFormat="1" ht="13.5" customHeight="1">
      <c r="A11" s="4"/>
      <c r="B11" s="4"/>
      <c r="C11" s="4"/>
      <c r="D11" s="1"/>
      <c r="E11" s="103"/>
      <c r="F11" s="103"/>
      <c r="G11" s="103"/>
      <c r="H11" s="103"/>
      <c r="I11" s="103"/>
      <c r="J11" s="103"/>
      <c r="K11" s="103"/>
      <c r="L11" s="103"/>
      <c r="M11" s="103"/>
      <c r="N11" s="103"/>
      <c r="O11" s="103"/>
      <c r="P11" s="103"/>
      <c r="Q11" s="103"/>
      <c r="R11" s="1"/>
      <c r="S11" s="1"/>
      <c r="T11" s="1"/>
      <c r="U11" s="294"/>
      <c r="V11" s="294"/>
      <c r="W11" s="294"/>
      <c r="X11" s="294"/>
      <c r="Y11" s="294"/>
      <c r="Z11" s="294"/>
      <c r="AA11" s="294"/>
      <c r="AB11" s="294"/>
      <c r="AC11" s="294"/>
      <c r="AD11" s="294"/>
      <c r="AE11" s="294"/>
      <c r="AF11" s="294"/>
      <c r="AG11" s="294"/>
      <c r="AH11" s="294"/>
      <c r="AI11" s="294"/>
      <c r="AJ11" s="294"/>
      <c r="AK11" s="294"/>
      <c r="AL11" s="294"/>
      <c r="AM11" s="294"/>
      <c r="AN11" s="294"/>
      <c r="AO11" s="294"/>
    </row>
    <row r="12" spans="1:41" s="2" customFormat="1" ht="13.5" customHeight="1">
      <c r="A12" s="4"/>
      <c r="B12" s="4"/>
      <c r="C12" s="4"/>
      <c r="D12" s="1"/>
      <c r="E12" s="103"/>
      <c r="F12" s="103"/>
      <c r="G12" s="103"/>
      <c r="H12" s="103"/>
      <c r="I12" s="103"/>
      <c r="J12" s="103"/>
      <c r="K12" s="103"/>
      <c r="L12" s="103"/>
      <c r="M12" s="103"/>
      <c r="N12" s="103"/>
      <c r="O12" s="103"/>
      <c r="P12" s="103"/>
      <c r="Q12" s="103"/>
      <c r="R12" s="1"/>
      <c r="S12" s="1"/>
      <c r="T12" s="1"/>
      <c r="U12" s="294"/>
      <c r="V12" s="294"/>
      <c r="W12" s="294"/>
      <c r="X12" s="294"/>
      <c r="Y12" s="294"/>
      <c r="Z12" s="294"/>
      <c r="AA12" s="294"/>
      <c r="AB12" s="294"/>
      <c r="AC12" s="294"/>
      <c r="AD12" s="294"/>
      <c r="AE12" s="294"/>
      <c r="AF12" s="294"/>
      <c r="AG12" s="294"/>
      <c r="AH12" s="294"/>
      <c r="AI12" s="294"/>
      <c r="AJ12" s="294"/>
      <c r="AK12" s="294"/>
      <c r="AL12" s="294"/>
      <c r="AM12" s="294"/>
      <c r="AN12" s="294"/>
      <c r="AO12" s="294"/>
    </row>
    <row r="13" spans="1:41" s="2" customFormat="1" ht="13.5" customHeight="1">
      <c r="A13" s="4"/>
      <c r="B13" s="4"/>
      <c r="C13" s="4"/>
      <c r="D13" s="1"/>
      <c r="E13" s="103"/>
      <c r="F13" s="103"/>
      <c r="G13" s="103"/>
      <c r="H13" s="103"/>
      <c r="I13" s="103"/>
      <c r="J13" s="103"/>
      <c r="K13" s="103"/>
      <c r="L13" s="103"/>
      <c r="M13" s="103"/>
      <c r="N13" s="103"/>
      <c r="O13" s="103"/>
      <c r="P13" s="103"/>
      <c r="Q13" s="103"/>
      <c r="R13" s="1"/>
      <c r="S13" s="1"/>
      <c r="T13" s="1"/>
      <c r="U13" s="294"/>
      <c r="V13" s="294"/>
      <c r="W13" s="294"/>
      <c r="X13" s="294"/>
      <c r="Y13" s="294"/>
      <c r="Z13" s="294"/>
      <c r="AA13" s="294"/>
      <c r="AB13" s="294"/>
      <c r="AC13" s="294"/>
      <c r="AD13" s="294"/>
      <c r="AE13" s="294"/>
      <c r="AF13" s="294"/>
      <c r="AG13" s="294"/>
      <c r="AH13" s="294"/>
      <c r="AI13" s="294"/>
      <c r="AJ13" s="294"/>
      <c r="AK13" s="294"/>
      <c r="AL13" s="294"/>
      <c r="AM13" s="294"/>
      <c r="AN13" s="294"/>
      <c r="AO13" s="294"/>
    </row>
    <row r="14" spans="1:55" s="2" customFormat="1" ht="13.5" customHeight="1">
      <c r="A14" s="4"/>
      <c r="B14" s="4"/>
      <c r="C14" s="15"/>
      <c r="D14" s="1"/>
      <c r="E14" s="103"/>
      <c r="F14" s="103"/>
      <c r="G14" s="103"/>
      <c r="H14" s="103"/>
      <c r="I14" s="103"/>
      <c r="J14" s="103"/>
      <c r="K14" s="103"/>
      <c r="L14" s="103"/>
      <c r="M14" s="103"/>
      <c r="N14" s="103"/>
      <c r="O14" s="103"/>
      <c r="P14" s="103"/>
      <c r="Q14" s="103"/>
      <c r="R14" s="1"/>
      <c r="S14" s="1"/>
      <c r="T14" s="1"/>
      <c r="U14" s="294"/>
      <c r="V14" s="294"/>
      <c r="W14" s="294"/>
      <c r="X14" s="294"/>
      <c r="Y14" s="294"/>
      <c r="Z14" s="294"/>
      <c r="AA14" s="294"/>
      <c r="AB14" s="294"/>
      <c r="AC14" s="294"/>
      <c r="AD14" s="294"/>
      <c r="AE14" s="294"/>
      <c r="AF14" s="294"/>
      <c r="AG14" s="294"/>
      <c r="AH14" s="294"/>
      <c r="AI14" s="294"/>
      <c r="AJ14" s="294"/>
      <c r="AK14" s="294"/>
      <c r="AL14" s="294"/>
      <c r="AM14" s="294"/>
      <c r="AN14" s="294"/>
      <c r="AO14" s="294"/>
      <c r="AX14" s="40"/>
      <c r="AY14" s="40"/>
      <c r="AZ14" s="40"/>
      <c r="BA14" s="40"/>
      <c r="BB14" s="40"/>
      <c r="BC14" s="40"/>
    </row>
    <row r="15" spans="1:41" s="2" customFormat="1" ht="13.5" customHeight="1">
      <c r="A15" s="4"/>
      <c r="B15" s="4"/>
      <c r="C15" s="4"/>
      <c r="D15" s="1"/>
      <c r="E15" s="103"/>
      <c r="F15" s="103"/>
      <c r="G15" s="103"/>
      <c r="H15" s="103"/>
      <c r="I15" s="103"/>
      <c r="J15" s="103"/>
      <c r="K15" s="103"/>
      <c r="L15" s="103"/>
      <c r="M15" s="103"/>
      <c r="N15" s="103"/>
      <c r="O15" s="103"/>
      <c r="P15" s="103"/>
      <c r="Q15" s="103"/>
      <c r="R15" s="1"/>
      <c r="S15" s="1"/>
      <c r="T15" s="1"/>
      <c r="U15" s="294"/>
      <c r="V15" s="294"/>
      <c r="W15" s="294"/>
      <c r="X15" s="294"/>
      <c r="Y15" s="294"/>
      <c r="Z15" s="294"/>
      <c r="AA15" s="294"/>
      <c r="AB15" s="294"/>
      <c r="AC15" s="294"/>
      <c r="AD15" s="294"/>
      <c r="AE15" s="294"/>
      <c r="AF15" s="294"/>
      <c r="AG15" s="294"/>
      <c r="AH15" s="294"/>
      <c r="AI15" s="294"/>
      <c r="AJ15" s="294"/>
      <c r="AK15" s="294"/>
      <c r="AL15" s="294"/>
      <c r="AM15" s="294"/>
      <c r="AN15" s="294"/>
      <c r="AO15" s="294"/>
    </row>
    <row r="16" spans="1:41" s="2" customFormat="1" ht="13.5" customHeight="1">
      <c r="A16" s="4"/>
      <c r="B16" s="4"/>
      <c r="C16" s="4"/>
      <c r="D16" s="1"/>
      <c r="E16" s="103"/>
      <c r="F16" s="103"/>
      <c r="G16" s="103"/>
      <c r="H16" s="103"/>
      <c r="I16" s="103"/>
      <c r="J16" s="103"/>
      <c r="K16" s="103"/>
      <c r="L16" s="103"/>
      <c r="M16" s="103"/>
      <c r="N16" s="103"/>
      <c r="O16" s="103"/>
      <c r="P16" s="103"/>
      <c r="Q16" s="103"/>
      <c r="R16" s="1"/>
      <c r="S16" s="1"/>
      <c r="T16" s="1"/>
      <c r="U16" s="294"/>
      <c r="V16" s="294"/>
      <c r="W16" s="294"/>
      <c r="X16" s="294"/>
      <c r="Y16" s="294"/>
      <c r="Z16" s="294"/>
      <c r="AA16" s="294"/>
      <c r="AB16" s="294"/>
      <c r="AC16" s="294"/>
      <c r="AD16" s="294"/>
      <c r="AE16" s="294"/>
      <c r="AF16" s="294"/>
      <c r="AG16" s="294"/>
      <c r="AH16" s="294"/>
      <c r="AI16" s="294"/>
      <c r="AJ16" s="294"/>
      <c r="AK16" s="294"/>
      <c r="AL16" s="294"/>
      <c r="AM16" s="294"/>
      <c r="AN16" s="294"/>
      <c r="AO16" s="294"/>
    </row>
    <row r="17" spans="1:41" s="2" customFormat="1" ht="13.5" customHeight="1">
      <c r="A17" s="4"/>
      <c r="B17" s="15"/>
      <c r="C17" s="4"/>
      <c r="D17" s="1"/>
      <c r="E17" s="103"/>
      <c r="F17" s="103"/>
      <c r="G17" s="103"/>
      <c r="H17" s="103"/>
      <c r="I17" s="103"/>
      <c r="J17" s="103"/>
      <c r="K17" s="103"/>
      <c r="L17" s="103"/>
      <c r="M17" s="103"/>
      <c r="N17" s="103"/>
      <c r="O17" s="103"/>
      <c r="P17" s="103"/>
      <c r="Q17" s="103"/>
      <c r="R17" s="1"/>
      <c r="S17" s="1"/>
      <c r="T17" s="1"/>
      <c r="U17" s="294"/>
      <c r="V17" s="294"/>
      <c r="W17" s="294"/>
      <c r="X17" s="294"/>
      <c r="Y17" s="294"/>
      <c r="Z17" s="294"/>
      <c r="AA17" s="294"/>
      <c r="AB17" s="294"/>
      <c r="AC17" s="294"/>
      <c r="AD17" s="294"/>
      <c r="AE17" s="294"/>
      <c r="AF17" s="294"/>
      <c r="AG17" s="294"/>
      <c r="AH17" s="294"/>
      <c r="AI17" s="294"/>
      <c r="AJ17" s="294"/>
      <c r="AK17" s="294"/>
      <c r="AL17" s="294"/>
      <c r="AM17" s="294"/>
      <c r="AN17" s="294"/>
      <c r="AO17" s="294"/>
    </row>
    <row r="18" spans="1:41" s="2" customFormat="1" ht="13.5" customHeight="1">
      <c r="A18" s="4"/>
      <c r="B18" s="15"/>
      <c r="C18" s="4"/>
      <c r="D18" s="1"/>
      <c r="E18" s="103"/>
      <c r="F18" s="103"/>
      <c r="G18" s="103"/>
      <c r="H18" s="103"/>
      <c r="I18" s="103"/>
      <c r="J18" s="103"/>
      <c r="K18" s="103"/>
      <c r="L18" s="103"/>
      <c r="M18" s="103"/>
      <c r="N18" s="103"/>
      <c r="O18" s="103"/>
      <c r="P18" s="103"/>
      <c r="Q18" s="103"/>
      <c r="R18" s="1"/>
      <c r="S18" s="1"/>
      <c r="T18" s="1"/>
      <c r="U18" s="294"/>
      <c r="V18" s="294"/>
      <c r="W18" s="294"/>
      <c r="X18" s="294"/>
      <c r="Y18" s="294"/>
      <c r="Z18" s="294"/>
      <c r="AA18" s="294"/>
      <c r="AB18" s="294"/>
      <c r="AC18" s="294"/>
      <c r="AD18" s="294"/>
      <c r="AE18" s="294"/>
      <c r="AF18" s="294"/>
      <c r="AG18" s="294"/>
      <c r="AH18" s="294"/>
      <c r="AI18" s="294"/>
      <c r="AJ18" s="294"/>
      <c r="AK18" s="294"/>
      <c r="AL18" s="294"/>
      <c r="AM18" s="294"/>
      <c r="AN18" s="294"/>
      <c r="AO18" s="294"/>
    </row>
    <row r="19" spans="1:41" s="2" customFormat="1" ht="13.5" customHeight="1">
      <c r="A19" s="4"/>
      <c r="B19" s="4"/>
      <c r="C19" s="15"/>
      <c r="D19" s="1"/>
      <c r="E19" s="103"/>
      <c r="F19" s="103"/>
      <c r="G19" s="103"/>
      <c r="H19" s="103"/>
      <c r="I19" s="103"/>
      <c r="J19" s="103"/>
      <c r="K19" s="103"/>
      <c r="L19" s="103"/>
      <c r="M19" s="103"/>
      <c r="N19" s="103"/>
      <c r="O19" s="103"/>
      <c r="P19" s="103"/>
      <c r="Q19" s="103"/>
      <c r="R19" s="1"/>
      <c r="S19" s="1"/>
      <c r="T19" s="1"/>
      <c r="U19" s="294"/>
      <c r="V19" s="294"/>
      <c r="W19" s="294"/>
      <c r="X19" s="294"/>
      <c r="Y19" s="294"/>
      <c r="Z19" s="294"/>
      <c r="AA19" s="294"/>
      <c r="AB19" s="294"/>
      <c r="AC19" s="294"/>
      <c r="AD19" s="294"/>
      <c r="AE19" s="294"/>
      <c r="AF19" s="294"/>
      <c r="AG19" s="294"/>
      <c r="AH19" s="294"/>
      <c r="AI19" s="294"/>
      <c r="AJ19" s="294"/>
      <c r="AK19" s="294"/>
      <c r="AL19" s="294"/>
      <c r="AM19" s="294"/>
      <c r="AN19" s="294"/>
      <c r="AO19" s="294"/>
    </row>
    <row r="20" spans="1:41" s="2" customFormat="1" ht="13.5" customHeight="1">
      <c r="A20" s="4"/>
      <c r="B20" s="4"/>
      <c r="C20" s="4"/>
      <c r="D20" s="1"/>
      <c r="E20" s="103"/>
      <c r="F20" s="103"/>
      <c r="G20" s="103"/>
      <c r="H20" s="103"/>
      <c r="I20" s="103"/>
      <c r="J20" s="103"/>
      <c r="K20" s="103"/>
      <c r="L20" s="103"/>
      <c r="M20" s="103"/>
      <c r="N20" s="103"/>
      <c r="O20" s="103"/>
      <c r="P20" s="103"/>
      <c r="Q20" s="103"/>
      <c r="R20" s="1"/>
      <c r="S20" s="1"/>
      <c r="T20" s="1"/>
      <c r="U20" s="294"/>
      <c r="V20" s="294"/>
      <c r="W20" s="294"/>
      <c r="X20" s="294"/>
      <c r="Y20" s="294"/>
      <c r="Z20" s="294"/>
      <c r="AA20" s="294"/>
      <c r="AB20" s="294"/>
      <c r="AC20" s="294"/>
      <c r="AD20" s="294"/>
      <c r="AE20" s="294"/>
      <c r="AF20" s="294"/>
      <c r="AG20" s="294"/>
      <c r="AH20" s="294"/>
      <c r="AI20" s="294"/>
      <c r="AJ20" s="294"/>
      <c r="AK20" s="294"/>
      <c r="AL20" s="294"/>
      <c r="AM20" s="294"/>
      <c r="AN20" s="294"/>
      <c r="AO20" s="294"/>
    </row>
    <row r="21" spans="1:41" s="2" customFormat="1" ht="13.5" customHeight="1">
      <c r="A21" s="4"/>
      <c r="B21" s="4"/>
      <c r="C21" s="4"/>
      <c r="D21" s="1"/>
      <c r="E21" s="103"/>
      <c r="F21" s="103"/>
      <c r="G21" s="103"/>
      <c r="H21" s="103"/>
      <c r="I21" s="103"/>
      <c r="J21" s="103"/>
      <c r="K21" s="103"/>
      <c r="L21" s="103"/>
      <c r="M21" s="103"/>
      <c r="N21" s="103"/>
      <c r="O21" s="103"/>
      <c r="P21" s="103"/>
      <c r="Q21" s="103"/>
      <c r="R21" s="1"/>
      <c r="S21" s="1"/>
      <c r="T21" s="1"/>
      <c r="U21" s="294"/>
      <c r="V21" s="294"/>
      <c r="W21" s="294"/>
      <c r="X21" s="294"/>
      <c r="Y21" s="294"/>
      <c r="Z21" s="294"/>
      <c r="AA21" s="294"/>
      <c r="AB21" s="294"/>
      <c r="AC21" s="294"/>
      <c r="AD21" s="294"/>
      <c r="AE21" s="294"/>
      <c r="AF21" s="294"/>
      <c r="AG21" s="294"/>
      <c r="AH21" s="294"/>
      <c r="AI21" s="294"/>
      <c r="AJ21" s="294"/>
      <c r="AK21" s="294"/>
      <c r="AL21" s="294"/>
      <c r="AM21" s="294"/>
      <c r="AN21" s="294"/>
      <c r="AO21" s="294"/>
    </row>
    <row r="22" spans="1:41" s="2" customFormat="1" ht="13.5" customHeight="1">
      <c r="A22" s="4"/>
      <c r="B22" s="4"/>
      <c r="C22" s="250"/>
      <c r="D22" s="1"/>
      <c r="E22" s="103"/>
      <c r="F22" s="103"/>
      <c r="G22" s="103"/>
      <c r="H22" s="103"/>
      <c r="I22" s="103"/>
      <c r="J22" s="103"/>
      <c r="K22" s="103"/>
      <c r="L22" s="103"/>
      <c r="M22" s="103"/>
      <c r="N22" s="103"/>
      <c r="O22" s="103"/>
      <c r="P22" s="103"/>
      <c r="Q22" s="103"/>
      <c r="R22" s="1"/>
      <c r="S22" s="1"/>
      <c r="T22" s="1"/>
      <c r="U22" s="294"/>
      <c r="V22" s="294"/>
      <c r="W22" s="294"/>
      <c r="X22" s="294"/>
      <c r="Y22" s="294"/>
      <c r="Z22" s="294"/>
      <c r="AA22" s="294"/>
      <c r="AB22" s="294"/>
      <c r="AC22" s="294"/>
      <c r="AD22" s="294"/>
      <c r="AE22" s="294"/>
      <c r="AF22" s="294"/>
      <c r="AG22" s="294"/>
      <c r="AH22" s="294"/>
      <c r="AI22" s="294"/>
      <c r="AJ22" s="294"/>
      <c r="AK22" s="294"/>
      <c r="AL22" s="294"/>
      <c r="AM22" s="294"/>
      <c r="AN22" s="294"/>
      <c r="AO22" s="294"/>
    </row>
    <row r="23" spans="1:41" s="2" customFormat="1" ht="13.5" customHeight="1">
      <c r="A23" s="4"/>
      <c r="B23" s="15"/>
      <c r="C23" s="251"/>
      <c r="D23" s="1"/>
      <c r="E23" s="103"/>
      <c r="F23" s="103"/>
      <c r="G23" s="103"/>
      <c r="H23" s="103"/>
      <c r="I23" s="103"/>
      <c r="J23" s="103"/>
      <c r="K23" s="103"/>
      <c r="L23" s="103"/>
      <c r="M23" s="103"/>
      <c r="N23" s="103"/>
      <c r="O23" s="103"/>
      <c r="P23" s="103"/>
      <c r="Q23" s="103"/>
      <c r="R23" s="1"/>
      <c r="S23" s="1"/>
      <c r="T23" s="1"/>
      <c r="U23" s="294"/>
      <c r="V23" s="294"/>
      <c r="W23" s="294"/>
      <c r="X23" s="294"/>
      <c r="Y23" s="294"/>
      <c r="Z23" s="294"/>
      <c r="AA23" s="294"/>
      <c r="AB23" s="294"/>
      <c r="AC23" s="294"/>
      <c r="AD23" s="294"/>
      <c r="AE23" s="294"/>
      <c r="AF23" s="294"/>
      <c r="AG23" s="294"/>
      <c r="AH23" s="294"/>
      <c r="AI23" s="294"/>
      <c r="AJ23" s="294"/>
      <c r="AK23" s="294"/>
      <c r="AL23" s="294"/>
      <c r="AM23" s="294"/>
      <c r="AN23" s="294"/>
      <c r="AO23" s="294"/>
    </row>
    <row r="24" spans="1:41" s="2" customFormat="1" ht="13.5" customHeight="1">
      <c r="A24" s="4"/>
      <c r="B24" s="4"/>
      <c r="C24" s="252"/>
      <c r="D24" s="1"/>
      <c r="E24" s="103"/>
      <c r="F24" s="103"/>
      <c r="G24" s="103"/>
      <c r="H24" s="103"/>
      <c r="I24" s="103"/>
      <c r="J24" s="103"/>
      <c r="K24" s="103"/>
      <c r="L24" s="103"/>
      <c r="M24" s="103"/>
      <c r="N24" s="103"/>
      <c r="O24" s="103"/>
      <c r="P24" s="103"/>
      <c r="Q24" s="103"/>
      <c r="R24" s="1"/>
      <c r="S24" s="1"/>
      <c r="T24" s="1"/>
      <c r="U24" s="294"/>
      <c r="V24" s="294"/>
      <c r="W24" s="294"/>
      <c r="X24" s="294"/>
      <c r="Y24" s="294"/>
      <c r="Z24" s="294"/>
      <c r="AA24" s="294"/>
      <c r="AB24" s="294"/>
      <c r="AC24" s="294"/>
      <c r="AD24" s="294"/>
      <c r="AE24" s="294"/>
      <c r="AF24" s="294"/>
      <c r="AG24" s="294"/>
      <c r="AH24" s="294"/>
      <c r="AI24" s="294"/>
      <c r="AJ24" s="294"/>
      <c r="AK24" s="294"/>
      <c r="AL24" s="294"/>
      <c r="AM24" s="294"/>
      <c r="AN24" s="294"/>
      <c r="AO24" s="294"/>
    </row>
    <row r="25" spans="1:41" s="2" customFormat="1" ht="13.5" customHeight="1">
      <c r="A25" s="4"/>
      <c r="B25" s="4"/>
      <c r="C25" s="250"/>
      <c r="D25" s="1"/>
      <c r="E25" s="103"/>
      <c r="F25" s="103"/>
      <c r="G25" s="103"/>
      <c r="H25" s="103"/>
      <c r="I25" s="103"/>
      <c r="J25" s="103"/>
      <c r="K25" s="103"/>
      <c r="L25" s="103"/>
      <c r="M25" s="103"/>
      <c r="N25" s="103"/>
      <c r="O25" s="103"/>
      <c r="P25" s="103"/>
      <c r="Q25" s="103"/>
      <c r="R25" s="1"/>
      <c r="S25" s="1"/>
      <c r="T25" s="1"/>
      <c r="U25" s="294"/>
      <c r="V25" s="294"/>
      <c r="W25" s="294"/>
      <c r="X25" s="294"/>
      <c r="Y25" s="294"/>
      <c r="Z25" s="294"/>
      <c r="AA25" s="294"/>
      <c r="AB25" s="294"/>
      <c r="AC25" s="294"/>
      <c r="AD25" s="294"/>
      <c r="AE25" s="294"/>
      <c r="AF25" s="294"/>
      <c r="AG25" s="294"/>
      <c r="AH25" s="294"/>
      <c r="AI25" s="294"/>
      <c r="AJ25" s="294"/>
      <c r="AK25" s="294"/>
      <c r="AL25" s="294"/>
      <c r="AM25" s="294"/>
      <c r="AN25" s="294"/>
      <c r="AO25" s="294"/>
    </row>
    <row r="26" spans="1:41" s="2" customFormat="1" ht="13.5" customHeight="1">
      <c r="A26" s="253" t="s">
        <v>12</v>
      </c>
      <c r="B26" s="250">
        <v>30</v>
      </c>
      <c r="C26" s="15"/>
      <c r="D26" s="1"/>
      <c r="E26" s="103"/>
      <c r="F26" s="103"/>
      <c r="G26" s="103"/>
      <c r="H26" s="103"/>
      <c r="I26" s="103"/>
      <c r="J26" s="103"/>
      <c r="K26" s="103"/>
      <c r="L26" s="103"/>
      <c r="M26" s="103"/>
      <c r="N26" s="103"/>
      <c r="O26" s="103"/>
      <c r="P26" s="103"/>
      <c r="Q26" s="103"/>
      <c r="R26" s="1"/>
      <c r="S26" s="1"/>
      <c r="T26" s="1"/>
      <c r="U26" s="294"/>
      <c r="V26" s="294"/>
      <c r="W26" s="294"/>
      <c r="X26" s="294"/>
      <c r="Y26" s="294"/>
      <c r="Z26" s="294"/>
      <c r="AA26" s="294"/>
      <c r="AB26" s="294"/>
      <c r="AC26" s="294"/>
      <c r="AD26" s="294"/>
      <c r="AE26" s="294"/>
      <c r="AF26" s="294"/>
      <c r="AG26" s="294"/>
      <c r="AH26" s="294"/>
      <c r="AI26" s="294"/>
      <c r="AJ26" s="294"/>
      <c r="AK26" s="294"/>
      <c r="AL26" s="294"/>
      <c r="AM26" s="294"/>
      <c r="AN26" s="294"/>
      <c r="AO26" s="294"/>
    </row>
    <row r="27" spans="1:41" s="2" customFormat="1" ht="13.5" customHeight="1">
      <c r="A27" s="253" t="s">
        <v>20</v>
      </c>
      <c r="B27" s="252">
        <v>0.01</v>
      </c>
      <c r="C27" s="4"/>
      <c r="D27" s="1"/>
      <c r="E27" s="103"/>
      <c r="F27" s="103"/>
      <c r="G27" s="103"/>
      <c r="H27" s="103"/>
      <c r="I27" s="103"/>
      <c r="J27" s="103"/>
      <c r="K27" s="103"/>
      <c r="L27" s="103"/>
      <c r="M27" s="103"/>
      <c r="N27" s="103"/>
      <c r="O27" s="103"/>
      <c r="P27" s="103"/>
      <c r="Q27" s="103"/>
      <c r="R27" s="1"/>
      <c r="S27" s="1"/>
      <c r="T27" s="1"/>
      <c r="U27" s="294"/>
      <c r="V27" s="294"/>
      <c r="W27" s="294"/>
      <c r="X27" s="294"/>
      <c r="Y27" s="294"/>
      <c r="Z27" s="294"/>
      <c r="AA27" s="294"/>
      <c r="AB27" s="294"/>
      <c r="AC27" s="294"/>
      <c r="AD27" s="294"/>
      <c r="AE27" s="294"/>
      <c r="AF27" s="294"/>
      <c r="AG27" s="294"/>
      <c r="AH27" s="294"/>
      <c r="AI27" s="294"/>
      <c r="AJ27" s="294"/>
      <c r="AK27" s="294"/>
      <c r="AL27" s="294"/>
      <c r="AM27" s="294"/>
      <c r="AN27" s="294"/>
      <c r="AO27" s="294"/>
    </row>
    <row r="28" spans="1:41" s="2" customFormat="1" ht="13.5" customHeight="1">
      <c r="A28" s="253" t="s">
        <v>21</v>
      </c>
      <c r="B28" s="254">
        <f>B26/30</f>
        <v>1</v>
      </c>
      <c r="C28" s="255"/>
      <c r="D28" s="1"/>
      <c r="E28" s="103"/>
      <c r="F28" s="103"/>
      <c r="G28" s="103"/>
      <c r="H28" s="103"/>
      <c r="I28" s="103"/>
      <c r="J28" s="103"/>
      <c r="K28" s="103"/>
      <c r="L28" s="103"/>
      <c r="M28" s="103"/>
      <c r="N28" s="103"/>
      <c r="O28" s="103"/>
      <c r="P28" s="103"/>
      <c r="Q28" s="103"/>
      <c r="R28" s="1"/>
      <c r="S28" s="1"/>
      <c r="T28" s="1"/>
      <c r="U28" s="294"/>
      <c r="V28" s="294"/>
      <c r="W28" s="294"/>
      <c r="X28" s="294"/>
      <c r="Y28" s="294"/>
      <c r="Z28" s="294"/>
      <c r="AA28" s="294"/>
      <c r="AB28" s="294"/>
      <c r="AC28" s="294"/>
      <c r="AD28" s="294"/>
      <c r="AE28" s="294"/>
      <c r="AF28" s="294"/>
      <c r="AG28" s="294"/>
      <c r="AH28" s="294"/>
      <c r="AI28" s="294"/>
      <c r="AJ28" s="294"/>
      <c r="AK28" s="294"/>
      <c r="AL28" s="294"/>
      <c r="AM28" s="294"/>
      <c r="AN28" s="294"/>
      <c r="AO28" s="294"/>
    </row>
    <row r="29" spans="1:41" s="2" customFormat="1" ht="13.5" customHeight="1">
      <c r="A29" s="253" t="s">
        <v>22</v>
      </c>
      <c r="B29" s="250">
        <v>30.000591278076172</v>
      </c>
      <c r="C29" s="4"/>
      <c r="D29" s="1"/>
      <c r="E29" s="103"/>
      <c r="F29" s="103"/>
      <c r="G29" s="103"/>
      <c r="H29" s="103"/>
      <c r="I29" s="103"/>
      <c r="J29" s="103"/>
      <c r="K29" s="103"/>
      <c r="L29" s="103"/>
      <c r="M29" s="103"/>
      <c r="N29" s="103"/>
      <c r="O29" s="103"/>
      <c r="P29" s="103"/>
      <c r="Q29" s="103"/>
      <c r="R29" s="1"/>
      <c r="S29" s="1"/>
      <c r="T29" s="1"/>
      <c r="U29" s="294"/>
      <c r="V29" s="294"/>
      <c r="W29" s="294"/>
      <c r="X29" s="294"/>
      <c r="Y29" s="294"/>
      <c r="Z29" s="294"/>
      <c r="AA29" s="294"/>
      <c r="AB29" s="294"/>
      <c r="AC29" s="294"/>
      <c r="AD29" s="294"/>
      <c r="AE29" s="294"/>
      <c r="AF29" s="294"/>
      <c r="AG29" s="294"/>
      <c r="AH29" s="294"/>
      <c r="AI29" s="294"/>
      <c r="AJ29" s="294"/>
      <c r="AK29" s="294"/>
      <c r="AL29" s="294"/>
      <c r="AM29" s="294"/>
      <c r="AN29" s="294"/>
      <c r="AO29" s="294"/>
    </row>
    <row r="30" spans="1:41" s="2" customFormat="1" ht="13.5" customHeight="1">
      <c r="A30" s="4"/>
      <c r="B30" s="15"/>
      <c r="C30" s="4"/>
      <c r="D30" s="1"/>
      <c r="E30" s="1"/>
      <c r="F30" s="1"/>
      <c r="G30" s="1"/>
      <c r="H30" s="1"/>
      <c r="I30" s="1"/>
      <c r="J30" s="1"/>
      <c r="K30" s="1"/>
      <c r="L30" s="1"/>
      <c r="M30" s="1"/>
      <c r="N30" s="1"/>
      <c r="O30" s="1"/>
      <c r="P30" s="1"/>
      <c r="Q30" s="1"/>
      <c r="R30" s="1"/>
      <c r="S30" s="1"/>
      <c r="T30" s="1"/>
      <c r="U30" s="294"/>
      <c r="V30" s="294"/>
      <c r="W30" s="294"/>
      <c r="X30" s="294"/>
      <c r="Y30" s="294"/>
      <c r="Z30" s="294"/>
      <c r="AA30" s="294"/>
      <c r="AB30" s="294"/>
      <c r="AC30" s="294"/>
      <c r="AD30" s="294"/>
      <c r="AE30" s="294"/>
      <c r="AF30" s="294"/>
      <c r="AG30" s="294"/>
      <c r="AH30" s="294"/>
      <c r="AI30" s="294"/>
      <c r="AJ30" s="294"/>
      <c r="AK30" s="294"/>
      <c r="AL30" s="294"/>
      <c r="AM30" s="294"/>
      <c r="AN30" s="294"/>
      <c r="AO30" s="294"/>
    </row>
    <row r="31" spans="1:41" s="2" customFormat="1" ht="13.5" customHeight="1">
      <c r="A31" s="4"/>
      <c r="B31" s="4"/>
      <c r="C31" s="15"/>
      <c r="D31" s="1"/>
      <c r="E31" s="1"/>
      <c r="F31" s="1"/>
      <c r="G31" s="1"/>
      <c r="H31" s="1"/>
      <c r="I31" s="1"/>
      <c r="J31" s="1"/>
      <c r="K31" s="1"/>
      <c r="L31" s="1"/>
      <c r="M31" s="1"/>
      <c r="N31" s="1"/>
      <c r="O31" s="1"/>
      <c r="P31" s="1"/>
      <c r="Q31" s="1"/>
      <c r="R31" s="1"/>
      <c r="S31" s="1"/>
      <c r="T31" s="1"/>
      <c r="U31" s="294"/>
      <c r="V31" s="294"/>
      <c r="W31" s="294"/>
      <c r="X31" s="294"/>
      <c r="Y31" s="294"/>
      <c r="Z31" s="294"/>
      <c r="AA31" s="294"/>
      <c r="AB31" s="294"/>
      <c r="AC31" s="294"/>
      <c r="AD31" s="294"/>
      <c r="AE31" s="294"/>
      <c r="AF31" s="294"/>
      <c r="AG31" s="294"/>
      <c r="AH31" s="294"/>
      <c r="AI31" s="294"/>
      <c r="AJ31" s="294"/>
      <c r="AK31" s="294"/>
      <c r="AL31" s="294"/>
      <c r="AM31" s="294"/>
      <c r="AN31" s="294"/>
      <c r="AO31" s="294"/>
    </row>
    <row r="32" spans="1:41" s="2" customFormat="1" ht="13.5" customHeight="1">
      <c r="A32" s="4"/>
      <c r="B32" s="4"/>
      <c r="C32" s="4"/>
      <c r="D32" s="1"/>
      <c r="E32" s="1"/>
      <c r="F32" s="1"/>
      <c r="G32" s="1"/>
      <c r="H32" s="1"/>
      <c r="I32" s="1"/>
      <c r="J32" s="1"/>
      <c r="K32" s="1"/>
      <c r="L32" s="1"/>
      <c r="M32" s="1"/>
      <c r="N32" s="1"/>
      <c r="O32" s="1"/>
      <c r="P32" s="1"/>
      <c r="Q32" s="1"/>
      <c r="R32" s="1"/>
      <c r="S32" s="1"/>
      <c r="T32" s="1"/>
      <c r="U32" s="294"/>
      <c r="V32" s="294"/>
      <c r="W32" s="294"/>
      <c r="X32" s="294"/>
      <c r="Y32" s="294"/>
      <c r="Z32" s="294"/>
      <c r="AA32" s="294"/>
      <c r="AB32" s="294"/>
      <c r="AC32" s="294"/>
      <c r="AD32" s="294"/>
      <c r="AE32" s="294"/>
      <c r="AF32" s="294"/>
      <c r="AG32" s="294"/>
      <c r="AH32" s="294"/>
      <c r="AI32" s="294"/>
      <c r="AJ32" s="294"/>
      <c r="AK32" s="294"/>
      <c r="AL32" s="294"/>
      <c r="AM32" s="294"/>
      <c r="AN32" s="294"/>
      <c r="AO32" s="294"/>
    </row>
    <row r="33" spans="1:41" s="2" customFormat="1" ht="13.5" customHeight="1">
      <c r="A33" s="4"/>
      <c r="B33" s="4"/>
      <c r="C33" s="4"/>
      <c r="D33" s="1"/>
      <c r="E33" s="1"/>
      <c r="F33" s="1"/>
      <c r="G33" s="1"/>
      <c r="H33" s="1"/>
      <c r="I33" s="1"/>
      <c r="J33" s="1"/>
      <c r="K33" s="1"/>
      <c r="L33" s="1"/>
      <c r="M33" s="1"/>
      <c r="N33" s="1"/>
      <c r="O33" s="1"/>
      <c r="P33" s="1"/>
      <c r="Q33" s="1"/>
      <c r="R33" s="1"/>
      <c r="S33" s="1"/>
      <c r="T33" s="1"/>
      <c r="U33" s="294"/>
      <c r="V33" s="294"/>
      <c r="W33" s="294"/>
      <c r="X33" s="294"/>
      <c r="Y33" s="294"/>
      <c r="Z33" s="294"/>
      <c r="AA33" s="294"/>
      <c r="AB33" s="294"/>
      <c r="AC33" s="294"/>
      <c r="AD33" s="294"/>
      <c r="AE33" s="294"/>
      <c r="AF33" s="294"/>
      <c r="AG33" s="294"/>
      <c r="AH33" s="294"/>
      <c r="AI33" s="294"/>
      <c r="AJ33" s="294"/>
      <c r="AK33" s="294"/>
      <c r="AL33" s="294"/>
      <c r="AM33" s="294"/>
      <c r="AN33" s="294"/>
      <c r="AO33" s="294"/>
    </row>
    <row r="34" spans="1:41" s="2" customFormat="1" ht="13.5" customHeight="1">
      <c r="A34" s="4"/>
      <c r="B34" s="4"/>
      <c r="C34" s="4"/>
      <c r="D34" s="1"/>
      <c r="E34" s="1"/>
      <c r="F34" s="1"/>
      <c r="G34" s="1"/>
      <c r="H34" s="1"/>
      <c r="I34" s="1"/>
      <c r="J34" s="1"/>
      <c r="K34" s="1"/>
      <c r="L34" s="1"/>
      <c r="M34" s="1"/>
      <c r="N34" s="1"/>
      <c r="O34" s="1"/>
      <c r="P34" s="1"/>
      <c r="Q34" s="1"/>
      <c r="R34" s="1"/>
      <c r="S34" s="1"/>
      <c r="T34" s="1"/>
      <c r="U34" s="294"/>
      <c r="V34" s="294"/>
      <c r="W34" s="294"/>
      <c r="X34" s="294"/>
      <c r="Y34" s="294"/>
      <c r="Z34" s="294"/>
      <c r="AA34" s="294"/>
      <c r="AB34" s="294"/>
      <c r="AC34" s="294"/>
      <c r="AD34" s="294"/>
      <c r="AE34" s="294"/>
      <c r="AF34" s="294"/>
      <c r="AG34" s="294"/>
      <c r="AH34" s="294"/>
      <c r="AI34" s="294"/>
      <c r="AJ34" s="294"/>
      <c r="AK34" s="294"/>
      <c r="AL34" s="294"/>
      <c r="AM34" s="294"/>
      <c r="AN34" s="294"/>
      <c r="AO34" s="294"/>
    </row>
    <row r="35" spans="1:41" s="2" customFormat="1" ht="13.5" customHeight="1">
      <c r="A35" s="4"/>
      <c r="B35" s="15"/>
      <c r="C35" s="4"/>
      <c r="D35" s="1"/>
      <c r="E35" s="1"/>
      <c r="F35" s="1"/>
      <c r="G35" s="1"/>
      <c r="H35" s="1"/>
      <c r="I35" s="1"/>
      <c r="J35" s="1"/>
      <c r="K35" s="1"/>
      <c r="L35" s="1"/>
      <c r="M35" s="1"/>
      <c r="N35" s="1"/>
      <c r="O35" s="1"/>
      <c r="P35" s="1"/>
      <c r="Q35" s="1"/>
      <c r="R35" s="1"/>
      <c r="S35" s="1"/>
      <c r="T35" s="1"/>
      <c r="U35" s="294"/>
      <c r="V35" s="294"/>
      <c r="W35" s="294"/>
      <c r="X35" s="294"/>
      <c r="Y35" s="294"/>
      <c r="Z35" s="294"/>
      <c r="AA35" s="294"/>
      <c r="AB35" s="294"/>
      <c r="AC35" s="294"/>
      <c r="AD35" s="294"/>
      <c r="AE35" s="294"/>
      <c r="AF35" s="294"/>
      <c r="AG35" s="294"/>
      <c r="AH35" s="294"/>
      <c r="AI35" s="294"/>
      <c r="AJ35" s="294"/>
      <c r="AK35" s="294"/>
      <c r="AL35" s="294"/>
      <c r="AM35" s="294"/>
      <c r="AN35" s="294"/>
      <c r="AO35" s="294"/>
    </row>
    <row r="36" spans="1:41" s="2" customFormat="1" ht="13.5" customHeight="1">
      <c r="A36" s="4"/>
      <c r="B36" s="4"/>
      <c r="C36" s="15"/>
      <c r="D36" s="1"/>
      <c r="E36" s="1"/>
      <c r="F36" s="1"/>
      <c r="G36" s="1"/>
      <c r="H36" s="1"/>
      <c r="I36" s="1"/>
      <c r="J36" s="1"/>
      <c r="K36" s="1"/>
      <c r="L36" s="1"/>
      <c r="M36" s="1"/>
      <c r="N36" s="1"/>
      <c r="O36" s="1"/>
      <c r="P36" s="1"/>
      <c r="Q36" s="1"/>
      <c r="R36" s="1"/>
      <c r="S36" s="1"/>
      <c r="T36" s="1"/>
      <c r="U36" s="294"/>
      <c r="V36" s="294"/>
      <c r="W36" s="294"/>
      <c r="X36" s="294"/>
      <c r="Y36" s="294"/>
      <c r="Z36" s="294"/>
      <c r="AA36" s="294"/>
      <c r="AB36" s="294"/>
      <c r="AC36" s="294"/>
      <c r="AD36" s="294"/>
      <c r="AE36" s="294"/>
      <c r="AF36" s="294"/>
      <c r="AG36" s="294"/>
      <c r="AH36" s="294"/>
      <c r="AI36" s="294"/>
      <c r="AJ36" s="294"/>
      <c r="AK36" s="294"/>
      <c r="AL36" s="294"/>
      <c r="AM36" s="294"/>
      <c r="AN36" s="294"/>
      <c r="AO36" s="294"/>
    </row>
    <row r="37" spans="1:41" s="2" customFormat="1" ht="13.5" customHeight="1">
      <c r="A37" s="4"/>
      <c r="B37" s="4"/>
      <c r="C37" s="4"/>
      <c r="D37" s="1"/>
      <c r="E37" s="1"/>
      <c r="F37" s="1"/>
      <c r="G37" s="1"/>
      <c r="H37" s="1"/>
      <c r="I37" s="1"/>
      <c r="J37" s="1"/>
      <c r="K37" s="1"/>
      <c r="L37" s="1"/>
      <c r="M37" s="1"/>
      <c r="N37" s="1"/>
      <c r="O37" s="1"/>
      <c r="P37" s="1"/>
      <c r="Q37" s="1"/>
      <c r="R37" s="1"/>
      <c r="S37" s="1"/>
      <c r="T37" s="1"/>
      <c r="U37" s="294"/>
      <c r="V37" s="294"/>
      <c r="W37" s="294"/>
      <c r="X37" s="294"/>
      <c r="Y37" s="294"/>
      <c r="Z37" s="294"/>
      <c r="AA37" s="294"/>
      <c r="AB37" s="294"/>
      <c r="AC37" s="294"/>
      <c r="AD37" s="294"/>
      <c r="AE37" s="294"/>
      <c r="AF37" s="294"/>
      <c r="AG37" s="294"/>
      <c r="AH37" s="294"/>
      <c r="AI37" s="294"/>
      <c r="AJ37" s="294"/>
      <c r="AK37" s="294"/>
      <c r="AL37" s="294"/>
      <c r="AM37" s="294"/>
      <c r="AN37" s="294"/>
      <c r="AO37" s="294"/>
    </row>
    <row r="38" spans="1:41" s="2" customFormat="1" ht="13.5" customHeight="1">
      <c r="A38" s="4"/>
      <c r="B38" s="4"/>
      <c r="C38" s="4"/>
      <c r="D38" s="1"/>
      <c r="E38" s="1"/>
      <c r="F38" s="1"/>
      <c r="G38" s="1"/>
      <c r="H38" s="1"/>
      <c r="I38" s="1"/>
      <c r="J38" s="1"/>
      <c r="K38" s="1"/>
      <c r="L38" s="1"/>
      <c r="M38" s="1"/>
      <c r="N38" s="1"/>
      <c r="O38" s="1"/>
      <c r="P38" s="1"/>
      <c r="Q38" s="1"/>
      <c r="R38" s="1"/>
      <c r="S38" s="1"/>
      <c r="T38" s="1"/>
      <c r="U38" s="294"/>
      <c r="V38" s="294"/>
      <c r="W38" s="294"/>
      <c r="X38" s="294"/>
      <c r="Y38" s="294"/>
      <c r="Z38" s="294"/>
      <c r="AA38" s="294"/>
      <c r="AB38" s="294"/>
      <c r="AC38" s="294"/>
      <c r="AD38" s="294"/>
      <c r="AE38" s="294"/>
      <c r="AF38" s="294"/>
      <c r="AG38" s="294"/>
      <c r="AH38" s="294"/>
      <c r="AI38" s="294"/>
      <c r="AJ38" s="294"/>
      <c r="AK38" s="294"/>
      <c r="AL38" s="294"/>
      <c r="AM38" s="294"/>
      <c r="AN38" s="294"/>
      <c r="AO38" s="294"/>
    </row>
    <row r="39" spans="1:41" s="2" customFormat="1" ht="13.5" customHeight="1">
      <c r="A39" s="4"/>
      <c r="B39" s="4"/>
      <c r="C39" s="4"/>
      <c r="D39" s="1"/>
      <c r="E39" s="1"/>
      <c r="F39" s="1"/>
      <c r="G39" s="1"/>
      <c r="H39" s="1"/>
      <c r="I39" s="1"/>
      <c r="J39" s="1"/>
      <c r="K39" s="1"/>
      <c r="L39" s="1"/>
      <c r="M39" s="1"/>
      <c r="N39" s="1"/>
      <c r="O39" s="1"/>
      <c r="P39" s="1"/>
      <c r="Q39" s="1"/>
      <c r="R39" s="1"/>
      <c r="S39" s="1"/>
      <c r="T39" s="1"/>
      <c r="U39" s="294"/>
      <c r="V39" s="294"/>
      <c r="W39" s="294"/>
      <c r="X39" s="294"/>
      <c r="Y39" s="294"/>
      <c r="Z39" s="294"/>
      <c r="AA39" s="294"/>
      <c r="AB39" s="294"/>
      <c r="AC39" s="294"/>
      <c r="AD39" s="294"/>
      <c r="AE39" s="294"/>
      <c r="AF39" s="294"/>
      <c r="AG39" s="294"/>
      <c r="AH39" s="294"/>
      <c r="AI39" s="294"/>
      <c r="AJ39" s="294"/>
      <c r="AK39" s="294"/>
      <c r="AL39" s="294"/>
      <c r="AM39" s="294"/>
      <c r="AN39" s="294"/>
      <c r="AO39" s="294"/>
    </row>
    <row r="40" spans="1:41" s="2" customFormat="1" ht="13.5" customHeight="1">
      <c r="A40" s="4"/>
      <c r="B40" s="15"/>
      <c r="C40" s="4"/>
      <c r="D40" s="1"/>
      <c r="E40" s="1"/>
      <c r="F40" s="1"/>
      <c r="G40" s="1"/>
      <c r="H40" s="1"/>
      <c r="I40" s="1"/>
      <c r="J40" s="1"/>
      <c r="K40" s="1"/>
      <c r="L40" s="1"/>
      <c r="M40" s="1"/>
      <c r="N40" s="1"/>
      <c r="O40" s="1"/>
      <c r="P40" s="1"/>
      <c r="Q40" s="1"/>
      <c r="R40" s="1"/>
      <c r="S40" s="1"/>
      <c r="T40" s="1"/>
      <c r="U40" s="294"/>
      <c r="V40" s="294"/>
      <c r="W40" s="294"/>
      <c r="X40" s="294"/>
      <c r="Y40" s="294"/>
      <c r="Z40" s="294"/>
      <c r="AA40" s="294"/>
      <c r="AB40" s="294"/>
      <c r="AC40" s="294"/>
      <c r="AD40" s="294"/>
      <c r="AE40" s="294"/>
      <c r="AF40" s="294"/>
      <c r="AG40" s="294"/>
      <c r="AH40" s="294"/>
      <c r="AI40" s="294"/>
      <c r="AJ40" s="294"/>
      <c r="AK40" s="294"/>
      <c r="AL40" s="294"/>
      <c r="AM40" s="294"/>
      <c r="AN40" s="294"/>
      <c r="AO40" s="294"/>
    </row>
    <row r="41" spans="1:41" s="2" customFormat="1" ht="13.5" customHeight="1">
      <c r="A41" s="4"/>
      <c r="B41" s="4"/>
      <c r="C41" s="4"/>
      <c r="D41" s="1"/>
      <c r="E41" s="1"/>
      <c r="F41" s="1"/>
      <c r="G41" s="1"/>
      <c r="H41" s="1"/>
      <c r="I41" s="1"/>
      <c r="J41" s="1"/>
      <c r="K41" s="1"/>
      <c r="L41" s="1"/>
      <c r="M41" s="1"/>
      <c r="N41" s="1"/>
      <c r="O41" s="1"/>
      <c r="P41" s="1"/>
      <c r="Q41" s="1"/>
      <c r="R41" s="1"/>
      <c r="S41" s="1"/>
      <c r="T41" s="1"/>
      <c r="U41" s="294"/>
      <c r="V41" s="294"/>
      <c r="W41" s="294"/>
      <c r="X41" s="294"/>
      <c r="Y41" s="294"/>
      <c r="Z41" s="294"/>
      <c r="AA41" s="294"/>
      <c r="AB41" s="294"/>
      <c r="AC41" s="294"/>
      <c r="AD41" s="294"/>
      <c r="AE41" s="294"/>
      <c r="AF41" s="294"/>
      <c r="AG41" s="294"/>
      <c r="AH41" s="294"/>
      <c r="AI41" s="294"/>
      <c r="AJ41" s="294"/>
      <c r="AK41" s="294"/>
      <c r="AL41" s="294"/>
      <c r="AM41" s="294"/>
      <c r="AN41" s="294"/>
      <c r="AO41" s="294"/>
    </row>
    <row r="42" spans="1:41" s="2" customFormat="1" ht="13.5" customHeight="1">
      <c r="A42" s="4"/>
      <c r="B42" s="4"/>
      <c r="C42" s="4"/>
      <c r="D42" s="1"/>
      <c r="E42" s="1"/>
      <c r="F42" s="1"/>
      <c r="G42" s="1"/>
      <c r="H42" s="1"/>
      <c r="I42" s="1"/>
      <c r="J42" s="1"/>
      <c r="K42" s="1"/>
      <c r="L42" s="1"/>
      <c r="M42" s="1"/>
      <c r="N42" s="1"/>
      <c r="O42" s="1"/>
      <c r="P42" s="1"/>
      <c r="Q42" s="1"/>
      <c r="R42" s="1"/>
      <c r="S42" s="1"/>
      <c r="T42" s="1"/>
      <c r="U42" s="294"/>
      <c r="V42" s="294"/>
      <c r="W42" s="294"/>
      <c r="X42" s="294"/>
      <c r="Y42" s="294"/>
      <c r="Z42" s="294"/>
      <c r="AA42" s="294"/>
      <c r="AB42" s="294"/>
      <c r="AC42" s="294"/>
      <c r="AD42" s="294"/>
      <c r="AE42" s="294"/>
      <c r="AF42" s="294"/>
      <c r="AG42" s="294"/>
      <c r="AH42" s="294"/>
      <c r="AI42" s="294"/>
      <c r="AJ42" s="294"/>
      <c r="AK42" s="294"/>
      <c r="AL42" s="294"/>
      <c r="AM42" s="294"/>
      <c r="AN42" s="294"/>
      <c r="AO42" s="294"/>
    </row>
    <row r="43" spans="1:41" s="2" customFormat="1" ht="13.5" customHeight="1">
      <c r="A43" s="4"/>
      <c r="B43" s="4"/>
      <c r="C43" s="4"/>
      <c r="D43" s="1"/>
      <c r="E43" s="1"/>
      <c r="F43" s="1"/>
      <c r="G43" s="1"/>
      <c r="H43" s="1"/>
      <c r="I43" s="1"/>
      <c r="J43" s="1"/>
      <c r="K43" s="1"/>
      <c r="L43" s="1"/>
      <c r="M43" s="1"/>
      <c r="N43" s="1"/>
      <c r="O43" s="1"/>
      <c r="P43" s="1"/>
      <c r="Q43" s="1"/>
      <c r="R43" s="1"/>
      <c r="S43" s="1"/>
      <c r="T43" s="1"/>
      <c r="U43" s="294"/>
      <c r="V43" s="294"/>
      <c r="W43" s="294"/>
      <c r="X43" s="294"/>
      <c r="Y43" s="294"/>
      <c r="Z43" s="294"/>
      <c r="AA43" s="294"/>
      <c r="AB43" s="294"/>
      <c r="AC43" s="294"/>
      <c r="AD43" s="294"/>
      <c r="AE43" s="294"/>
      <c r="AF43" s="294"/>
      <c r="AG43" s="294"/>
      <c r="AH43" s="294"/>
      <c r="AI43" s="294"/>
      <c r="AJ43" s="294"/>
      <c r="AK43" s="294"/>
      <c r="AL43" s="294"/>
      <c r="AM43" s="294"/>
      <c r="AN43" s="294"/>
      <c r="AO43" s="294"/>
    </row>
    <row r="44" spans="1:41" s="2" customFormat="1" ht="13.5" customHeight="1">
      <c r="A44" s="4"/>
      <c r="B44" s="4"/>
      <c r="C44" s="4"/>
      <c r="D44" s="1"/>
      <c r="E44" s="1"/>
      <c r="F44" s="1"/>
      <c r="G44" s="1"/>
      <c r="H44" s="1"/>
      <c r="I44" s="1"/>
      <c r="J44" s="1"/>
      <c r="K44" s="1"/>
      <c r="L44" s="1"/>
      <c r="M44" s="1"/>
      <c r="N44" s="1"/>
      <c r="O44" s="1"/>
      <c r="P44" s="1"/>
      <c r="Q44" s="1"/>
      <c r="R44" s="1"/>
      <c r="S44" s="1"/>
      <c r="T44" s="1"/>
      <c r="U44" s="294"/>
      <c r="V44" s="294"/>
      <c r="W44" s="294"/>
      <c r="X44" s="294"/>
      <c r="Y44" s="294"/>
      <c r="Z44" s="294"/>
      <c r="AA44" s="294"/>
      <c r="AB44" s="294"/>
      <c r="AC44" s="294"/>
      <c r="AD44" s="294"/>
      <c r="AE44" s="294"/>
      <c r="AF44" s="294"/>
      <c r="AG44" s="294"/>
      <c r="AH44" s="294"/>
      <c r="AI44" s="294"/>
      <c r="AJ44" s="294"/>
      <c r="AK44" s="294"/>
      <c r="AL44" s="294"/>
      <c r="AM44" s="294"/>
      <c r="AN44" s="294"/>
      <c r="AO44" s="294"/>
    </row>
    <row r="45" spans="1:41" s="2" customFormat="1" ht="13.5" customHeight="1">
      <c r="A45" s="4"/>
      <c r="B45" s="4"/>
      <c r="C45" s="4"/>
      <c r="D45" s="1"/>
      <c r="E45" s="1"/>
      <c r="F45" s="104" t="s">
        <v>34</v>
      </c>
      <c r="G45" s="1"/>
      <c r="H45" s="1"/>
      <c r="I45" s="1"/>
      <c r="J45" s="1"/>
      <c r="K45" s="1"/>
      <c r="L45" s="1"/>
      <c r="M45" s="104" t="s">
        <v>35</v>
      </c>
      <c r="N45" s="1"/>
      <c r="O45" s="1"/>
      <c r="P45" s="1"/>
      <c r="Q45" s="1"/>
      <c r="R45" s="1"/>
      <c r="S45" s="1"/>
      <c r="T45" s="1"/>
      <c r="U45" s="294"/>
      <c r="V45" s="294"/>
      <c r="W45" s="294"/>
      <c r="X45" s="294"/>
      <c r="Y45" s="294"/>
      <c r="Z45" s="294"/>
      <c r="AA45" s="294"/>
      <c r="AB45" s="294"/>
      <c r="AC45" s="294"/>
      <c r="AD45" s="294"/>
      <c r="AE45" s="294"/>
      <c r="AF45" s="294"/>
      <c r="AG45" s="294"/>
      <c r="AH45" s="294"/>
      <c r="AI45" s="294"/>
      <c r="AJ45" s="294"/>
      <c r="AK45" s="294"/>
      <c r="AL45" s="294"/>
      <c r="AM45" s="294"/>
      <c r="AN45" s="294"/>
      <c r="AO45" s="294"/>
    </row>
    <row r="46" spans="1:41" s="2" customFormat="1" ht="13.5" customHeight="1">
      <c r="A46" s="4"/>
      <c r="B46" s="4"/>
      <c r="C46" s="4"/>
      <c r="D46" s="1"/>
      <c r="E46" s="1"/>
      <c r="F46" s="104" t="s">
        <v>36</v>
      </c>
      <c r="G46" s="1"/>
      <c r="H46" s="1"/>
      <c r="I46" s="1"/>
      <c r="J46" s="1"/>
      <c r="K46" s="1"/>
      <c r="L46" s="1"/>
      <c r="M46" s="104" t="s">
        <v>32</v>
      </c>
      <c r="N46" s="1"/>
      <c r="O46" s="1"/>
      <c r="P46" s="1"/>
      <c r="Q46" s="1"/>
      <c r="R46" s="1"/>
      <c r="S46" s="1"/>
      <c r="T46" s="1"/>
      <c r="U46" s="294"/>
      <c r="V46" s="294"/>
      <c r="W46" s="294"/>
      <c r="X46" s="294"/>
      <c r="Y46" s="294"/>
      <c r="Z46" s="294"/>
      <c r="AA46" s="294"/>
      <c r="AB46" s="294"/>
      <c r="AC46" s="294"/>
      <c r="AD46" s="294"/>
      <c r="AE46" s="294"/>
      <c r="AF46" s="294"/>
      <c r="AG46" s="294"/>
      <c r="AH46" s="294"/>
      <c r="AI46" s="294"/>
      <c r="AJ46" s="294"/>
      <c r="AK46" s="294"/>
      <c r="AL46" s="294"/>
      <c r="AM46" s="294"/>
      <c r="AN46" s="294"/>
      <c r="AO46" s="294"/>
    </row>
    <row r="47" spans="1:41" s="2" customFormat="1" ht="13.5" customHeight="1">
      <c r="A47" s="4"/>
      <c r="B47" s="4"/>
      <c r="C47" s="4"/>
      <c r="D47" s="1"/>
      <c r="E47" s="1"/>
      <c r="F47" s="1"/>
      <c r="G47" s="1"/>
      <c r="H47" s="1"/>
      <c r="I47" s="1"/>
      <c r="J47" s="1"/>
      <c r="K47" s="1"/>
      <c r="L47" s="1"/>
      <c r="M47" s="1"/>
      <c r="N47" s="1"/>
      <c r="O47" s="1"/>
      <c r="P47" s="1"/>
      <c r="Q47" s="1"/>
      <c r="R47" s="1"/>
      <c r="S47" s="1"/>
      <c r="T47" s="1"/>
      <c r="U47" s="294"/>
      <c r="V47" s="294"/>
      <c r="W47" s="294"/>
      <c r="X47" s="294"/>
      <c r="Y47" s="294"/>
      <c r="Z47" s="294"/>
      <c r="AA47" s="294"/>
      <c r="AB47" s="294"/>
      <c r="AC47" s="294"/>
      <c r="AD47" s="294"/>
      <c r="AE47" s="294"/>
      <c r="AF47" s="294"/>
      <c r="AG47" s="294"/>
      <c r="AH47" s="294"/>
      <c r="AI47" s="294"/>
      <c r="AJ47" s="294"/>
      <c r="AK47" s="294"/>
      <c r="AL47" s="294"/>
      <c r="AM47" s="294"/>
      <c r="AN47" s="294"/>
      <c r="AO47" s="294"/>
    </row>
    <row r="48" spans="1:41" s="2" customFormat="1" ht="13.5" customHeight="1">
      <c r="A48" s="4"/>
      <c r="B48" s="4"/>
      <c r="C48" s="4"/>
      <c r="D48" s="1"/>
      <c r="E48" s="1"/>
      <c r="F48" s="1"/>
      <c r="G48" s="1"/>
      <c r="H48" s="1"/>
      <c r="I48" s="1"/>
      <c r="J48" s="1"/>
      <c r="K48" s="1"/>
      <c r="L48" s="1"/>
      <c r="M48" s="1"/>
      <c r="N48" s="1"/>
      <c r="O48" s="1"/>
      <c r="P48" s="1"/>
      <c r="Q48" s="1"/>
      <c r="R48" s="1"/>
      <c r="S48" s="1"/>
      <c r="T48" s="1"/>
      <c r="U48" s="294"/>
      <c r="V48" s="294"/>
      <c r="W48" s="294"/>
      <c r="X48" s="294"/>
      <c r="Y48" s="294"/>
      <c r="Z48" s="294"/>
      <c r="AA48" s="294"/>
      <c r="AB48" s="294"/>
      <c r="AC48" s="294"/>
      <c r="AD48" s="294"/>
      <c r="AE48" s="294"/>
      <c r="AF48" s="294"/>
      <c r="AG48" s="294"/>
      <c r="AH48" s="294"/>
      <c r="AI48" s="294"/>
      <c r="AJ48" s="294"/>
      <c r="AK48" s="294"/>
      <c r="AL48" s="294"/>
      <c r="AM48" s="294"/>
      <c r="AN48" s="294"/>
      <c r="AO48" s="294"/>
    </row>
    <row r="49" spans="1:41" s="2" customFormat="1" ht="13.5" customHeight="1">
      <c r="A49" s="4"/>
      <c r="B49" s="4"/>
      <c r="C49" s="4"/>
      <c r="D49" s="1"/>
      <c r="E49" s="1"/>
      <c r="F49" s="1"/>
      <c r="G49" s="1"/>
      <c r="H49" s="1"/>
      <c r="I49" s="1"/>
      <c r="J49" s="1"/>
      <c r="K49" s="1"/>
      <c r="L49" s="1"/>
      <c r="M49" s="1"/>
      <c r="N49" s="1"/>
      <c r="O49" s="1"/>
      <c r="P49" s="1"/>
      <c r="Q49" s="1"/>
      <c r="R49" s="1"/>
      <c r="S49" s="1"/>
      <c r="T49" s="1"/>
      <c r="U49" s="294"/>
      <c r="V49" s="294"/>
      <c r="W49" s="294"/>
      <c r="X49" s="294"/>
      <c r="Y49" s="294"/>
      <c r="Z49" s="294"/>
      <c r="AA49" s="294"/>
      <c r="AB49" s="294"/>
      <c r="AC49" s="294"/>
      <c r="AD49" s="294"/>
      <c r="AE49" s="294"/>
      <c r="AF49" s="294"/>
      <c r="AG49" s="294"/>
      <c r="AH49" s="294"/>
      <c r="AI49" s="294"/>
      <c r="AJ49" s="294"/>
      <c r="AK49" s="294"/>
      <c r="AL49" s="294"/>
      <c r="AM49" s="294"/>
      <c r="AN49" s="294"/>
      <c r="AO49" s="294"/>
    </row>
    <row r="50" spans="1:41" s="2" customFormat="1" ht="13.5" customHeight="1">
      <c r="A50" s="4"/>
      <c r="B50" s="4"/>
      <c r="C50" s="4"/>
      <c r="D50" s="1"/>
      <c r="E50" s="1"/>
      <c r="F50" s="1"/>
      <c r="G50" s="1"/>
      <c r="H50" s="1"/>
      <c r="I50" s="1"/>
      <c r="J50" s="1"/>
      <c r="K50" s="1"/>
      <c r="L50" s="1"/>
      <c r="M50" s="1"/>
      <c r="N50" s="1"/>
      <c r="O50" s="1"/>
      <c r="P50" s="1"/>
      <c r="Q50" s="1"/>
      <c r="R50" s="1"/>
      <c r="S50" s="1"/>
      <c r="T50" s="1"/>
      <c r="U50" s="294"/>
      <c r="V50" s="294"/>
      <c r="W50" s="294"/>
      <c r="X50" s="294"/>
      <c r="Y50" s="294"/>
      <c r="Z50" s="294"/>
      <c r="AA50" s="294"/>
      <c r="AB50" s="294"/>
      <c r="AC50" s="294"/>
      <c r="AD50" s="294"/>
      <c r="AE50" s="294"/>
      <c r="AF50" s="294"/>
      <c r="AG50" s="294"/>
      <c r="AH50" s="294"/>
      <c r="AI50" s="294"/>
      <c r="AJ50" s="294"/>
      <c r="AK50" s="294"/>
      <c r="AL50" s="294"/>
      <c r="AM50" s="294"/>
      <c r="AN50" s="294"/>
      <c r="AO50" s="294"/>
    </row>
    <row r="51" spans="1:41" s="2" customFormat="1" ht="13.5" customHeight="1">
      <c r="A51" s="4"/>
      <c r="B51" s="4"/>
      <c r="C51" s="4"/>
      <c r="D51" s="1"/>
      <c r="E51" s="1"/>
      <c r="F51" s="1"/>
      <c r="G51" s="1"/>
      <c r="H51" s="1"/>
      <c r="I51" s="1"/>
      <c r="J51" s="1"/>
      <c r="K51" s="1"/>
      <c r="L51" s="1"/>
      <c r="M51" s="1"/>
      <c r="N51" s="1"/>
      <c r="O51" s="1"/>
      <c r="P51" s="1"/>
      <c r="Q51" s="1"/>
      <c r="R51" s="1"/>
      <c r="S51" s="1"/>
      <c r="T51" s="1"/>
      <c r="U51" s="294"/>
      <c r="V51" s="294"/>
      <c r="W51" s="294"/>
      <c r="X51" s="294"/>
      <c r="Y51" s="294"/>
      <c r="Z51" s="294"/>
      <c r="AA51" s="294"/>
      <c r="AB51" s="294"/>
      <c r="AC51" s="294"/>
      <c r="AD51" s="294"/>
      <c r="AE51" s="294"/>
      <c r="AF51" s="294"/>
      <c r="AG51" s="294"/>
      <c r="AH51" s="294"/>
      <c r="AI51" s="294"/>
      <c r="AJ51" s="294"/>
      <c r="AK51" s="294"/>
      <c r="AL51" s="294"/>
      <c r="AM51" s="294"/>
      <c r="AN51" s="294"/>
      <c r="AO51" s="294"/>
    </row>
    <row r="52" spans="1:41" s="2" customFormat="1" ht="13.5" customHeight="1">
      <c r="A52" s="4"/>
      <c r="B52" s="4"/>
      <c r="C52" s="4"/>
      <c r="D52" s="1"/>
      <c r="E52" s="1"/>
      <c r="F52" s="1"/>
      <c r="G52" s="1"/>
      <c r="H52" s="1"/>
      <c r="I52" s="1"/>
      <c r="J52" s="1"/>
      <c r="K52" s="1"/>
      <c r="L52" s="1"/>
      <c r="M52" s="1"/>
      <c r="N52" s="1"/>
      <c r="O52" s="1"/>
      <c r="P52" s="1"/>
      <c r="Q52" s="1"/>
      <c r="R52" s="1"/>
      <c r="S52" s="1"/>
      <c r="T52" s="1"/>
      <c r="U52" s="294"/>
      <c r="V52" s="294"/>
      <c r="W52" s="294"/>
      <c r="X52" s="294"/>
      <c r="Y52" s="294"/>
      <c r="Z52" s="294"/>
      <c r="AA52" s="294"/>
      <c r="AB52" s="294"/>
      <c r="AC52" s="294"/>
      <c r="AD52" s="294"/>
      <c r="AE52" s="294"/>
      <c r="AF52" s="294"/>
      <c r="AG52" s="294"/>
      <c r="AH52" s="294"/>
      <c r="AI52" s="294"/>
      <c r="AJ52" s="294"/>
      <c r="AK52" s="294"/>
      <c r="AL52" s="294"/>
      <c r="AM52" s="294"/>
      <c r="AN52" s="294"/>
      <c r="AO52" s="294"/>
    </row>
    <row r="53" spans="1:41" s="2" customFormat="1" ht="13.5" customHeight="1">
      <c r="A53" s="4"/>
      <c r="B53" s="4"/>
      <c r="C53" s="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row>
    <row r="54" spans="1:41" s="2" customFormat="1" ht="13.5" customHeight="1">
      <c r="A54" s="4"/>
      <c r="B54" s="4"/>
      <c r="C54" s="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294"/>
      <c r="AL54" s="294"/>
      <c r="AM54" s="294"/>
      <c r="AN54" s="294"/>
      <c r="AO54" s="294"/>
    </row>
    <row r="55" spans="1:41" s="2" customFormat="1" ht="13.5" customHeight="1">
      <c r="A55" s="4"/>
      <c r="B55" s="4"/>
      <c r="C55" s="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294"/>
      <c r="AL55" s="294"/>
      <c r="AM55" s="294"/>
      <c r="AN55" s="294"/>
      <c r="AO55" s="294"/>
    </row>
    <row r="56" spans="1:41" s="2" customFormat="1" ht="13.5" customHeight="1">
      <c r="A56" s="4"/>
      <c r="B56" s="4"/>
      <c r="C56" s="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294"/>
      <c r="AL56" s="294"/>
      <c r="AM56" s="294"/>
      <c r="AN56" s="294"/>
      <c r="AO56" s="294"/>
    </row>
    <row r="57" spans="1:41" s="2" customFormat="1" ht="13.5" customHeight="1">
      <c r="A57" s="4"/>
      <c r="B57" s="4"/>
      <c r="C57" s="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294"/>
      <c r="AL57" s="294"/>
      <c r="AM57" s="294"/>
      <c r="AN57" s="294"/>
      <c r="AO57" s="294"/>
    </row>
    <row r="58" spans="1:41" s="2" customFormat="1" ht="13.5" customHeight="1">
      <c r="A58" s="4"/>
      <c r="B58" s="4"/>
      <c r="C58" s="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294"/>
      <c r="AL58" s="294"/>
      <c r="AM58" s="294"/>
      <c r="AN58" s="294"/>
      <c r="AO58" s="294"/>
    </row>
    <row r="59" spans="1:41" s="2" customFormat="1" ht="13.5" customHeight="1">
      <c r="A59" s="4"/>
      <c r="B59" s="4"/>
      <c r="C59" s="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294"/>
      <c r="AL59" s="294"/>
      <c r="AM59" s="294"/>
      <c r="AN59" s="294"/>
      <c r="AO59" s="294"/>
    </row>
    <row r="60" spans="1:41" s="2" customFormat="1" ht="13.5" customHeight="1">
      <c r="A60" s="4"/>
      <c r="B60" s="4"/>
      <c r="C60" s="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294"/>
      <c r="AL60" s="294"/>
      <c r="AM60" s="294"/>
      <c r="AN60" s="294"/>
      <c r="AO60" s="294"/>
    </row>
    <row r="61" spans="1:41" s="2" customFormat="1" ht="13.5" customHeight="1">
      <c r="A61" s="4"/>
      <c r="B61" s="4"/>
      <c r="C61" s="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294"/>
      <c r="AL61" s="294"/>
      <c r="AM61" s="294"/>
      <c r="AN61" s="294"/>
      <c r="AO61" s="294"/>
    </row>
    <row r="62" spans="1:41" s="2" customFormat="1" ht="13.5" customHeight="1">
      <c r="A62" s="4"/>
      <c r="B62" s="4"/>
      <c r="C62" s="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294"/>
      <c r="AL62" s="294"/>
      <c r="AM62" s="294"/>
      <c r="AN62" s="294"/>
      <c r="AO62" s="294"/>
    </row>
    <row r="63" spans="1:41" s="2" customFormat="1" ht="13.5" customHeight="1">
      <c r="A63" s="4"/>
      <c r="B63" s="4"/>
      <c r="C63" s="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row>
    <row r="64" spans="1:41" s="2" customFormat="1" ht="13.5" customHeight="1">
      <c r="A64" s="4"/>
      <c r="B64" s="4"/>
      <c r="C64" s="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row>
    <row r="65" spans="1:41" s="2" customFormat="1" ht="13.5" customHeight="1">
      <c r="A65" s="4"/>
      <c r="B65" s="4"/>
      <c r="C65" s="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row>
    <row r="66" spans="1:41" s="2" customFormat="1" ht="13.5" customHeight="1">
      <c r="A66" s="4"/>
      <c r="B66" s="4"/>
      <c r="C66" s="4"/>
      <c r="D66" s="294"/>
      <c r="E66" s="294"/>
      <c r="F66" s="294"/>
      <c r="G66" s="294"/>
      <c r="H66" s="294"/>
      <c r="I66" s="294"/>
      <c r="J66" s="294"/>
      <c r="K66" s="294"/>
      <c r="L66" s="294"/>
      <c r="M66" s="294"/>
      <c r="N66" s="294"/>
      <c r="O66" s="294"/>
      <c r="P66" s="294"/>
      <c r="Q66" s="294"/>
      <c r="R66" s="294"/>
      <c r="S66" s="294"/>
      <c r="T66" s="294"/>
      <c r="U66" s="294"/>
      <c r="V66" s="294"/>
      <c r="W66" s="294"/>
      <c r="X66" s="294"/>
      <c r="Y66" s="294"/>
      <c r="Z66" s="294"/>
      <c r="AA66" s="294"/>
      <c r="AB66" s="294"/>
      <c r="AC66" s="294"/>
      <c r="AD66" s="294"/>
      <c r="AE66" s="294"/>
      <c r="AF66" s="294"/>
      <c r="AG66" s="294"/>
      <c r="AH66" s="294"/>
      <c r="AI66" s="294"/>
      <c r="AJ66" s="294"/>
      <c r="AK66" s="294"/>
      <c r="AL66" s="294"/>
      <c r="AM66" s="294"/>
      <c r="AN66" s="294"/>
      <c r="AO66" s="294"/>
    </row>
    <row r="67" spans="1:41" s="2" customFormat="1" ht="13.5" customHeight="1">
      <c r="A67" s="4"/>
      <c r="B67" s="4"/>
      <c r="C67" s="4"/>
      <c r="D67" s="294"/>
      <c r="E67" s="294"/>
      <c r="F67" s="294"/>
      <c r="G67" s="294"/>
      <c r="H67" s="294"/>
      <c r="I67" s="294"/>
      <c r="J67" s="294"/>
      <c r="K67" s="294"/>
      <c r="L67" s="294"/>
      <c r="M67" s="294"/>
      <c r="N67" s="294"/>
      <c r="O67" s="294"/>
      <c r="P67" s="294"/>
      <c r="Q67" s="294"/>
      <c r="R67" s="294"/>
      <c r="S67" s="294"/>
      <c r="T67" s="294"/>
      <c r="U67" s="294"/>
      <c r="V67" s="294"/>
      <c r="W67" s="294"/>
      <c r="X67" s="294"/>
      <c r="Y67" s="294"/>
      <c r="Z67" s="294"/>
      <c r="AA67" s="294"/>
      <c r="AB67" s="294"/>
      <c r="AC67" s="294"/>
      <c r="AD67" s="294"/>
      <c r="AE67" s="294"/>
      <c r="AF67" s="294"/>
      <c r="AG67" s="294"/>
      <c r="AH67" s="294"/>
      <c r="AI67" s="294"/>
      <c r="AJ67" s="294"/>
      <c r="AK67" s="294"/>
      <c r="AL67" s="294"/>
      <c r="AM67" s="294"/>
      <c r="AN67" s="294"/>
      <c r="AO67" s="294"/>
    </row>
    <row r="68" spans="1:41" s="2" customFormat="1" ht="13.5" customHeight="1">
      <c r="A68" s="4"/>
      <c r="B68" s="4"/>
      <c r="C68" s="4"/>
      <c r="D68" s="294"/>
      <c r="E68" s="294"/>
      <c r="F68" s="294"/>
      <c r="G68" s="294"/>
      <c r="H68" s="294"/>
      <c r="I68" s="294"/>
      <c r="J68" s="294"/>
      <c r="K68" s="294"/>
      <c r="L68" s="294"/>
      <c r="M68" s="294"/>
      <c r="N68" s="294"/>
      <c r="O68" s="294"/>
      <c r="P68" s="294"/>
      <c r="Q68" s="294"/>
      <c r="R68" s="294"/>
      <c r="S68" s="294"/>
      <c r="T68" s="294"/>
      <c r="U68" s="294"/>
      <c r="V68" s="294"/>
      <c r="W68" s="294"/>
      <c r="X68" s="294"/>
      <c r="Y68" s="294"/>
      <c r="Z68" s="294"/>
      <c r="AA68" s="294"/>
      <c r="AB68" s="294"/>
      <c r="AC68" s="294"/>
      <c r="AD68" s="294"/>
      <c r="AE68" s="294"/>
      <c r="AF68" s="294"/>
      <c r="AG68" s="294"/>
      <c r="AH68" s="294"/>
      <c r="AI68" s="294"/>
      <c r="AJ68" s="294"/>
      <c r="AK68" s="294"/>
      <c r="AL68" s="294"/>
      <c r="AM68" s="294"/>
      <c r="AN68" s="294"/>
      <c r="AO68" s="294"/>
    </row>
    <row r="69" spans="1:41" s="2" customFormat="1" ht="13.5" customHeight="1">
      <c r="A69" s="4"/>
      <c r="B69" s="4"/>
      <c r="C69" s="4"/>
      <c r="D69" s="294"/>
      <c r="E69" s="294"/>
      <c r="F69" s="294"/>
      <c r="G69" s="294"/>
      <c r="H69" s="294"/>
      <c r="I69" s="294"/>
      <c r="J69" s="294"/>
      <c r="K69" s="294"/>
      <c r="L69" s="294"/>
      <c r="M69" s="294"/>
      <c r="N69" s="294"/>
      <c r="O69" s="294"/>
      <c r="P69" s="294"/>
      <c r="Q69" s="294"/>
      <c r="R69" s="294"/>
      <c r="S69" s="294"/>
      <c r="T69" s="294"/>
      <c r="U69" s="294"/>
      <c r="V69" s="294"/>
      <c r="W69" s="294"/>
      <c r="X69" s="294"/>
      <c r="Y69" s="294"/>
      <c r="Z69" s="294"/>
      <c r="AA69" s="294"/>
      <c r="AB69" s="294"/>
      <c r="AC69" s="294"/>
      <c r="AD69" s="294"/>
      <c r="AE69" s="294"/>
      <c r="AF69" s="294"/>
      <c r="AG69" s="294"/>
      <c r="AH69" s="294"/>
      <c r="AI69" s="294"/>
      <c r="AJ69" s="294"/>
      <c r="AK69" s="294"/>
      <c r="AL69" s="294"/>
      <c r="AM69" s="294"/>
      <c r="AN69" s="294"/>
      <c r="AO69" s="294"/>
    </row>
    <row r="70" spans="1:41" s="2" customFormat="1" ht="13.5" customHeight="1">
      <c r="A70" s="4"/>
      <c r="B70" s="4"/>
      <c r="C70" s="4"/>
      <c r="D70" s="294"/>
      <c r="E70" s="294"/>
      <c r="F70" s="294"/>
      <c r="G70" s="294"/>
      <c r="H70" s="294"/>
      <c r="I70" s="294"/>
      <c r="J70" s="294"/>
      <c r="K70" s="294"/>
      <c r="L70" s="294"/>
      <c r="M70" s="294"/>
      <c r="N70" s="294"/>
      <c r="O70" s="294"/>
      <c r="P70" s="294"/>
      <c r="Q70" s="294"/>
      <c r="R70" s="294"/>
      <c r="S70" s="294"/>
      <c r="T70" s="294"/>
      <c r="U70" s="294"/>
      <c r="V70" s="294"/>
      <c r="W70" s="294"/>
      <c r="X70" s="294"/>
      <c r="Y70" s="294"/>
      <c r="Z70" s="294"/>
      <c r="AA70" s="294"/>
      <c r="AB70" s="294"/>
      <c r="AC70" s="294"/>
      <c r="AD70" s="294"/>
      <c r="AE70" s="294"/>
      <c r="AF70" s="294"/>
      <c r="AG70" s="294"/>
      <c r="AH70" s="294"/>
      <c r="AI70" s="294"/>
      <c r="AJ70" s="294"/>
      <c r="AK70" s="294"/>
      <c r="AL70" s="294"/>
      <c r="AM70" s="294"/>
      <c r="AN70" s="294"/>
      <c r="AO70" s="294"/>
    </row>
    <row r="71" spans="1:41" s="2" customFormat="1" ht="13.5" customHeight="1">
      <c r="A71" s="4"/>
      <c r="B71" s="4"/>
      <c r="C71" s="4"/>
      <c r="D71" s="294"/>
      <c r="E71" s="294"/>
      <c r="F71" s="294"/>
      <c r="G71" s="294"/>
      <c r="H71" s="294"/>
      <c r="I71" s="294"/>
      <c r="J71" s="294"/>
      <c r="K71" s="294"/>
      <c r="L71" s="294"/>
      <c r="M71" s="294"/>
      <c r="N71" s="294"/>
      <c r="O71" s="294"/>
      <c r="P71" s="294"/>
      <c r="Q71" s="294"/>
      <c r="R71" s="294"/>
      <c r="S71" s="294"/>
      <c r="T71" s="294"/>
      <c r="U71" s="294"/>
      <c r="V71" s="294"/>
      <c r="W71" s="294"/>
      <c r="X71" s="294"/>
      <c r="Y71" s="294"/>
      <c r="Z71" s="294"/>
      <c r="AA71" s="294"/>
      <c r="AB71" s="294"/>
      <c r="AC71" s="294"/>
      <c r="AD71" s="294"/>
      <c r="AE71" s="294"/>
      <c r="AF71" s="294"/>
      <c r="AG71" s="294"/>
      <c r="AH71" s="294"/>
      <c r="AI71" s="294"/>
      <c r="AJ71" s="294"/>
      <c r="AK71" s="294"/>
      <c r="AL71" s="294"/>
      <c r="AM71" s="294"/>
      <c r="AN71" s="294"/>
      <c r="AO71" s="294"/>
    </row>
    <row r="72" spans="1:41" s="2" customFormat="1" ht="13.5" customHeight="1">
      <c r="A72" s="4"/>
      <c r="B72" s="4"/>
      <c r="C72" s="4"/>
      <c r="D72" s="294"/>
      <c r="E72" s="294"/>
      <c r="F72" s="294"/>
      <c r="G72" s="294"/>
      <c r="H72" s="294"/>
      <c r="I72" s="294"/>
      <c r="J72" s="294"/>
      <c r="K72" s="294"/>
      <c r="L72" s="294"/>
      <c r="M72" s="294"/>
      <c r="N72" s="294"/>
      <c r="O72" s="294"/>
      <c r="P72" s="294"/>
      <c r="Q72" s="294"/>
      <c r="R72" s="294"/>
      <c r="S72" s="294"/>
      <c r="T72" s="294"/>
      <c r="U72" s="294"/>
      <c r="V72" s="294"/>
      <c r="W72" s="294"/>
      <c r="X72" s="294"/>
      <c r="Y72" s="294"/>
      <c r="Z72" s="294"/>
      <c r="AA72" s="294"/>
      <c r="AB72" s="294"/>
      <c r="AC72" s="294"/>
      <c r="AD72" s="294"/>
      <c r="AE72" s="294"/>
      <c r="AF72" s="294"/>
      <c r="AG72" s="294"/>
      <c r="AH72" s="294"/>
      <c r="AI72" s="294"/>
      <c r="AJ72" s="294"/>
      <c r="AK72" s="294"/>
      <c r="AL72" s="294"/>
      <c r="AM72" s="294"/>
      <c r="AN72" s="294"/>
      <c r="AO72" s="294"/>
    </row>
    <row r="73" spans="1:41" s="2" customFormat="1" ht="13.5" customHeight="1">
      <c r="A73" s="4"/>
      <c r="B73" s="4"/>
      <c r="C73" s="4"/>
      <c r="D73" s="294"/>
      <c r="E73" s="294"/>
      <c r="F73" s="294"/>
      <c r="G73" s="294"/>
      <c r="H73" s="294"/>
      <c r="I73" s="294"/>
      <c r="J73" s="294"/>
      <c r="K73" s="294"/>
      <c r="L73" s="294"/>
      <c r="M73" s="294"/>
      <c r="N73" s="294"/>
      <c r="O73" s="294"/>
      <c r="P73" s="294"/>
      <c r="Q73" s="294"/>
      <c r="R73" s="294"/>
      <c r="S73" s="294"/>
      <c r="T73" s="294"/>
      <c r="U73" s="294"/>
      <c r="V73" s="294"/>
      <c r="W73" s="294"/>
      <c r="X73" s="294"/>
      <c r="Y73" s="294"/>
      <c r="Z73" s="294"/>
      <c r="AA73" s="294"/>
      <c r="AB73" s="294"/>
      <c r="AC73" s="294"/>
      <c r="AD73" s="294"/>
      <c r="AE73" s="294"/>
      <c r="AF73" s="294"/>
      <c r="AG73" s="294"/>
      <c r="AH73" s="294"/>
      <c r="AI73" s="294"/>
      <c r="AJ73" s="294"/>
      <c r="AK73" s="294"/>
      <c r="AL73" s="294"/>
      <c r="AM73" s="294"/>
      <c r="AN73" s="294"/>
      <c r="AO73" s="294"/>
    </row>
    <row r="74" spans="1:41" s="2" customFormat="1" ht="13.5" customHeight="1">
      <c r="A74" s="4"/>
      <c r="B74" s="4"/>
      <c r="C74" s="4"/>
      <c r="D74" s="294"/>
      <c r="E74" s="294"/>
      <c r="F74" s="294"/>
      <c r="G74" s="294"/>
      <c r="H74" s="294"/>
      <c r="I74" s="294"/>
      <c r="J74" s="294"/>
      <c r="K74" s="294"/>
      <c r="L74" s="294"/>
      <c r="M74" s="294"/>
      <c r="N74" s="294"/>
      <c r="O74" s="294"/>
      <c r="P74" s="294"/>
      <c r="Q74" s="294"/>
      <c r="R74" s="294"/>
      <c r="S74" s="294"/>
      <c r="T74" s="294"/>
      <c r="U74" s="294"/>
      <c r="V74" s="294"/>
      <c r="W74" s="294"/>
      <c r="X74" s="294"/>
      <c r="Y74" s="294"/>
      <c r="Z74" s="294"/>
      <c r="AA74" s="294"/>
      <c r="AB74" s="294"/>
      <c r="AC74" s="294"/>
      <c r="AD74" s="294"/>
      <c r="AE74" s="294"/>
      <c r="AF74" s="294"/>
      <c r="AG74" s="294"/>
      <c r="AH74" s="294"/>
      <c r="AI74" s="294"/>
      <c r="AJ74" s="294"/>
      <c r="AK74" s="294"/>
      <c r="AL74" s="294"/>
      <c r="AM74" s="294"/>
      <c r="AN74" s="294"/>
      <c r="AO74" s="294"/>
    </row>
    <row r="75" spans="1:41" s="2" customFormat="1" ht="13.5" customHeight="1">
      <c r="A75" s="4"/>
      <c r="B75" s="4"/>
      <c r="C75" s="4"/>
      <c r="D75" s="294"/>
      <c r="E75" s="294"/>
      <c r="F75" s="294"/>
      <c r="G75" s="294"/>
      <c r="H75" s="294"/>
      <c r="I75" s="294"/>
      <c r="J75" s="294"/>
      <c r="K75" s="294"/>
      <c r="L75" s="294"/>
      <c r="M75" s="294"/>
      <c r="N75" s="294"/>
      <c r="O75" s="294"/>
      <c r="P75" s="294"/>
      <c r="Q75" s="294"/>
      <c r="R75" s="294"/>
      <c r="S75" s="294"/>
      <c r="T75" s="294"/>
      <c r="U75" s="294"/>
      <c r="V75" s="294"/>
      <c r="W75" s="294"/>
      <c r="X75" s="294"/>
      <c r="Y75" s="294"/>
      <c r="Z75" s="294"/>
      <c r="AA75" s="294"/>
      <c r="AB75" s="294"/>
      <c r="AC75" s="294"/>
      <c r="AD75" s="294"/>
      <c r="AE75" s="294"/>
      <c r="AF75" s="294"/>
      <c r="AG75" s="294"/>
      <c r="AH75" s="294"/>
      <c r="AI75" s="294"/>
      <c r="AJ75" s="294"/>
      <c r="AK75" s="294"/>
      <c r="AL75" s="294"/>
      <c r="AM75" s="294"/>
      <c r="AN75" s="294"/>
      <c r="AO75" s="294"/>
    </row>
    <row r="76" spans="1:41" s="2" customFormat="1" ht="13.5" customHeight="1">
      <c r="A76" s="4"/>
      <c r="B76" s="4"/>
      <c r="C76" s="4"/>
      <c r="D76" s="294"/>
      <c r="E76" s="294"/>
      <c r="F76" s="294"/>
      <c r="G76" s="294"/>
      <c r="H76" s="294"/>
      <c r="I76" s="294"/>
      <c r="J76" s="294"/>
      <c r="K76" s="294"/>
      <c r="L76" s="294"/>
      <c r="M76" s="294"/>
      <c r="N76" s="294"/>
      <c r="O76" s="294"/>
      <c r="P76" s="294"/>
      <c r="Q76" s="294"/>
      <c r="R76" s="294"/>
      <c r="S76" s="294"/>
      <c r="T76" s="294"/>
      <c r="U76" s="294"/>
      <c r="V76" s="294"/>
      <c r="W76" s="294"/>
      <c r="X76" s="294"/>
      <c r="Y76" s="294"/>
      <c r="Z76" s="294"/>
      <c r="AA76" s="294"/>
      <c r="AB76" s="294"/>
      <c r="AC76" s="294"/>
      <c r="AD76" s="294"/>
      <c r="AE76" s="294"/>
      <c r="AF76" s="294"/>
      <c r="AG76" s="294"/>
      <c r="AH76" s="294"/>
      <c r="AI76" s="294"/>
      <c r="AJ76" s="294"/>
      <c r="AK76" s="294"/>
      <c r="AL76" s="294"/>
      <c r="AM76" s="294"/>
      <c r="AN76" s="294"/>
      <c r="AO76" s="294"/>
    </row>
    <row r="77" spans="1:41" s="2" customFormat="1" ht="13.5" customHeight="1">
      <c r="A77" s="4"/>
      <c r="B77" s="4"/>
      <c r="C77" s="4"/>
      <c r="D77" s="294"/>
      <c r="E77" s="294"/>
      <c r="F77" s="294"/>
      <c r="G77" s="294"/>
      <c r="H77" s="294"/>
      <c r="I77" s="294"/>
      <c r="J77" s="294"/>
      <c r="K77" s="294"/>
      <c r="L77" s="294"/>
      <c r="M77" s="294"/>
      <c r="N77" s="294"/>
      <c r="O77" s="294"/>
      <c r="P77" s="294"/>
      <c r="Q77" s="294"/>
      <c r="R77" s="294"/>
      <c r="S77" s="294"/>
      <c r="T77" s="294"/>
      <c r="U77" s="294"/>
      <c r="V77" s="294"/>
      <c r="W77" s="294"/>
      <c r="X77" s="294"/>
      <c r="Y77" s="294"/>
      <c r="Z77" s="294"/>
      <c r="AA77" s="294"/>
      <c r="AB77" s="294"/>
      <c r="AC77" s="294"/>
      <c r="AD77" s="294"/>
      <c r="AE77" s="294"/>
      <c r="AF77" s="294"/>
      <c r="AG77" s="294"/>
      <c r="AH77" s="294"/>
      <c r="AI77" s="294"/>
      <c r="AJ77" s="294"/>
      <c r="AK77" s="294"/>
      <c r="AL77" s="294"/>
      <c r="AM77" s="294"/>
      <c r="AN77" s="294"/>
      <c r="AO77" s="294"/>
    </row>
    <row r="78" spans="1:41" s="2" customFormat="1" ht="13.5" customHeight="1">
      <c r="A78" s="4"/>
      <c r="B78" s="4"/>
      <c r="C78" s="4"/>
      <c r="D78" s="294"/>
      <c r="E78" s="294"/>
      <c r="F78" s="294"/>
      <c r="G78" s="294"/>
      <c r="H78" s="294"/>
      <c r="I78" s="294"/>
      <c r="J78" s="294"/>
      <c r="K78" s="294"/>
      <c r="L78" s="294"/>
      <c r="M78" s="294"/>
      <c r="N78" s="294"/>
      <c r="O78" s="294"/>
      <c r="P78" s="294"/>
      <c r="Q78" s="294"/>
      <c r="R78" s="294"/>
      <c r="S78" s="294"/>
      <c r="T78" s="294"/>
      <c r="U78" s="294"/>
      <c r="V78" s="294"/>
      <c r="W78" s="294"/>
      <c r="X78" s="294"/>
      <c r="Y78" s="294"/>
      <c r="Z78" s="294"/>
      <c r="AA78" s="294"/>
      <c r="AB78" s="294"/>
      <c r="AC78" s="294"/>
      <c r="AD78" s="294"/>
      <c r="AE78" s="294"/>
      <c r="AF78" s="294"/>
      <c r="AG78" s="294"/>
      <c r="AH78" s="294"/>
      <c r="AI78" s="294"/>
      <c r="AJ78" s="294"/>
      <c r="AK78" s="294"/>
      <c r="AL78" s="294"/>
      <c r="AM78" s="294"/>
      <c r="AN78" s="294"/>
      <c r="AO78" s="294"/>
    </row>
    <row r="79" spans="1:41" s="2" customFormat="1" ht="13.5" customHeight="1">
      <c r="A79" s="4"/>
      <c r="B79" s="4"/>
      <c r="C79" s="4"/>
      <c r="D79" s="294"/>
      <c r="E79" s="294"/>
      <c r="F79" s="294"/>
      <c r="G79" s="294"/>
      <c r="H79" s="294"/>
      <c r="I79" s="294"/>
      <c r="J79" s="294"/>
      <c r="K79" s="294"/>
      <c r="L79" s="294"/>
      <c r="M79" s="294"/>
      <c r="N79" s="294"/>
      <c r="O79" s="294"/>
      <c r="P79" s="294"/>
      <c r="Q79" s="294"/>
      <c r="R79" s="294"/>
      <c r="S79" s="294"/>
      <c r="T79" s="294"/>
      <c r="U79" s="294"/>
      <c r="V79" s="294"/>
      <c r="W79" s="294"/>
      <c r="X79" s="294"/>
      <c r="Y79" s="294"/>
      <c r="Z79" s="294"/>
      <c r="AA79" s="294"/>
      <c r="AB79" s="294"/>
      <c r="AC79" s="294"/>
      <c r="AD79" s="294"/>
      <c r="AE79" s="294"/>
      <c r="AF79" s="294"/>
      <c r="AG79" s="294"/>
      <c r="AH79" s="294"/>
      <c r="AI79" s="294"/>
      <c r="AJ79" s="294"/>
      <c r="AK79" s="294"/>
      <c r="AL79" s="294"/>
      <c r="AM79" s="294"/>
      <c r="AN79" s="294"/>
      <c r="AO79" s="294"/>
    </row>
    <row r="80" spans="1:41" s="2" customFormat="1" ht="13.5" customHeight="1">
      <c r="A80" s="4"/>
      <c r="B80" s="4"/>
      <c r="C80" s="4"/>
      <c r="D80" s="294"/>
      <c r="E80" s="294"/>
      <c r="F80" s="294"/>
      <c r="G80" s="294"/>
      <c r="H80" s="294"/>
      <c r="I80" s="294"/>
      <c r="J80" s="294"/>
      <c r="K80" s="294"/>
      <c r="L80" s="294"/>
      <c r="M80" s="294"/>
      <c r="N80" s="294"/>
      <c r="O80" s="294"/>
      <c r="P80" s="294"/>
      <c r="Q80" s="294"/>
      <c r="R80" s="294"/>
      <c r="S80" s="294"/>
      <c r="T80" s="294"/>
      <c r="U80" s="294"/>
      <c r="V80" s="294"/>
      <c r="W80" s="294"/>
      <c r="X80" s="294"/>
      <c r="Y80" s="294"/>
      <c r="Z80" s="294"/>
      <c r="AA80" s="294"/>
      <c r="AB80" s="294"/>
      <c r="AC80" s="294"/>
      <c r="AD80" s="294"/>
      <c r="AE80" s="294"/>
      <c r="AF80" s="294"/>
      <c r="AG80" s="294"/>
      <c r="AH80" s="294"/>
      <c r="AI80" s="294"/>
      <c r="AJ80" s="294"/>
      <c r="AK80" s="294"/>
      <c r="AL80" s="294"/>
      <c r="AM80" s="294"/>
      <c r="AN80" s="294"/>
      <c r="AO80" s="294"/>
    </row>
    <row r="81" spans="1:41" s="2" customFormat="1" ht="13.5" customHeight="1">
      <c r="A81" s="4"/>
      <c r="B81" s="4"/>
      <c r="C81" s="4"/>
      <c r="D81" s="294"/>
      <c r="E81" s="294"/>
      <c r="F81" s="294"/>
      <c r="G81" s="294"/>
      <c r="H81" s="294"/>
      <c r="I81" s="294"/>
      <c r="J81" s="294"/>
      <c r="K81" s="294"/>
      <c r="L81" s="294"/>
      <c r="M81" s="294"/>
      <c r="N81" s="294"/>
      <c r="O81" s="294"/>
      <c r="P81" s="294"/>
      <c r="Q81" s="294"/>
      <c r="R81" s="294"/>
      <c r="S81" s="294"/>
      <c r="T81" s="294"/>
      <c r="U81" s="294"/>
      <c r="V81" s="294"/>
      <c r="W81" s="294"/>
      <c r="X81" s="294"/>
      <c r="Y81" s="294"/>
      <c r="Z81" s="294"/>
      <c r="AA81" s="294"/>
      <c r="AB81" s="294"/>
      <c r="AC81" s="294"/>
      <c r="AD81" s="294"/>
      <c r="AE81" s="294"/>
      <c r="AF81" s="294"/>
      <c r="AG81" s="294"/>
      <c r="AH81" s="294"/>
      <c r="AI81" s="294"/>
      <c r="AJ81" s="294"/>
      <c r="AK81" s="294"/>
      <c r="AL81" s="294"/>
      <c r="AM81" s="294"/>
      <c r="AN81" s="294"/>
      <c r="AO81" s="294"/>
    </row>
    <row r="82" spans="1:41" s="2" customFormat="1" ht="13.5" customHeight="1">
      <c r="A82" s="4"/>
      <c r="B82" s="4"/>
      <c r="C82" s="4"/>
      <c r="D82" s="294"/>
      <c r="E82" s="294"/>
      <c r="F82" s="294"/>
      <c r="G82" s="294"/>
      <c r="H82" s="294"/>
      <c r="I82" s="294"/>
      <c r="J82" s="294"/>
      <c r="K82" s="294"/>
      <c r="L82" s="294"/>
      <c r="M82" s="294"/>
      <c r="N82" s="294"/>
      <c r="O82" s="294"/>
      <c r="P82" s="294"/>
      <c r="Q82" s="294"/>
      <c r="R82" s="294"/>
      <c r="S82" s="294"/>
      <c r="T82" s="294"/>
      <c r="U82" s="294"/>
      <c r="V82" s="294"/>
      <c r="W82" s="294"/>
      <c r="X82" s="294"/>
      <c r="Y82" s="294"/>
      <c r="Z82" s="294"/>
      <c r="AA82" s="294"/>
      <c r="AB82" s="294"/>
      <c r="AC82" s="294"/>
      <c r="AD82" s="294"/>
      <c r="AE82" s="294"/>
      <c r="AF82" s="294"/>
      <c r="AG82" s="294"/>
      <c r="AH82" s="294"/>
      <c r="AI82" s="294"/>
      <c r="AJ82" s="294"/>
      <c r="AK82" s="294"/>
      <c r="AL82" s="294"/>
      <c r="AM82" s="294"/>
      <c r="AN82" s="294"/>
      <c r="AO82" s="294"/>
    </row>
    <row r="83" spans="1:41" s="2" customFormat="1" ht="13.5" customHeight="1">
      <c r="A83" s="4"/>
      <c r="B83" s="4"/>
      <c r="C83" s="4"/>
      <c r="D83" s="294"/>
      <c r="E83" s="294"/>
      <c r="F83" s="294"/>
      <c r="G83" s="294"/>
      <c r="H83" s="294"/>
      <c r="I83" s="294"/>
      <c r="J83" s="294"/>
      <c r="K83" s="294"/>
      <c r="L83" s="294"/>
      <c r="M83" s="294"/>
      <c r="N83" s="294"/>
      <c r="O83" s="294"/>
      <c r="P83" s="294"/>
      <c r="Q83" s="294"/>
      <c r="R83" s="294"/>
      <c r="S83" s="294"/>
      <c r="T83" s="294"/>
      <c r="U83" s="294"/>
      <c r="V83" s="294"/>
      <c r="W83" s="294"/>
      <c r="X83" s="294"/>
      <c r="Y83" s="294"/>
      <c r="Z83" s="294"/>
      <c r="AA83" s="294"/>
      <c r="AB83" s="294"/>
      <c r="AC83" s="294"/>
      <c r="AD83" s="294"/>
      <c r="AE83" s="294"/>
      <c r="AF83" s="294"/>
      <c r="AG83" s="294"/>
      <c r="AH83" s="294"/>
      <c r="AI83" s="294"/>
      <c r="AJ83" s="294"/>
      <c r="AK83" s="294"/>
      <c r="AL83" s="294"/>
      <c r="AM83" s="294"/>
      <c r="AN83" s="294"/>
      <c r="AO83" s="294"/>
    </row>
    <row r="84" spans="1:41" s="2" customFormat="1" ht="13.5" customHeight="1">
      <c r="A84" s="4"/>
      <c r="B84" s="4"/>
      <c r="C84" s="4"/>
      <c r="D84" s="294"/>
      <c r="E84" s="294"/>
      <c r="F84" s="294"/>
      <c r="G84" s="294"/>
      <c r="H84" s="294"/>
      <c r="I84" s="294"/>
      <c r="J84" s="294"/>
      <c r="K84" s="294"/>
      <c r="L84" s="294"/>
      <c r="M84" s="294"/>
      <c r="N84" s="294"/>
      <c r="O84" s="294"/>
      <c r="P84" s="294"/>
      <c r="Q84" s="294"/>
      <c r="R84" s="294"/>
      <c r="S84" s="294"/>
      <c r="T84" s="294"/>
      <c r="U84" s="294"/>
      <c r="V84" s="294"/>
      <c r="W84" s="294"/>
      <c r="X84" s="294"/>
      <c r="Y84" s="294"/>
      <c r="Z84" s="294"/>
      <c r="AA84" s="294"/>
      <c r="AB84" s="294"/>
      <c r="AC84" s="294"/>
      <c r="AD84" s="294"/>
      <c r="AE84" s="294"/>
      <c r="AF84" s="294"/>
      <c r="AG84" s="294"/>
      <c r="AH84" s="294"/>
      <c r="AI84" s="294"/>
      <c r="AJ84" s="294"/>
      <c r="AK84" s="294"/>
      <c r="AL84" s="294"/>
      <c r="AM84" s="294"/>
      <c r="AN84" s="294"/>
      <c r="AO84" s="294"/>
    </row>
    <row r="85" spans="1:41" s="2" customFormat="1" ht="13.5" customHeight="1">
      <c r="A85" s="4"/>
      <c r="B85" s="4"/>
      <c r="C85" s="4"/>
      <c r="D85" s="294"/>
      <c r="E85" s="294"/>
      <c r="F85" s="294"/>
      <c r="G85" s="294"/>
      <c r="H85" s="294"/>
      <c r="I85" s="294"/>
      <c r="J85" s="294"/>
      <c r="K85" s="294"/>
      <c r="L85" s="294"/>
      <c r="M85" s="294"/>
      <c r="N85" s="294"/>
      <c r="O85" s="294"/>
      <c r="P85" s="294"/>
      <c r="Q85" s="294"/>
      <c r="R85" s="294"/>
      <c r="S85" s="294"/>
      <c r="T85" s="294"/>
      <c r="U85" s="294"/>
      <c r="V85" s="294"/>
      <c r="W85" s="294"/>
      <c r="X85" s="294"/>
      <c r="Y85" s="294"/>
      <c r="Z85" s="294"/>
      <c r="AA85" s="294"/>
      <c r="AB85" s="294"/>
      <c r="AC85" s="294"/>
      <c r="AD85" s="294"/>
      <c r="AE85" s="294"/>
      <c r="AF85" s="294"/>
      <c r="AG85" s="294"/>
      <c r="AH85" s="294"/>
      <c r="AI85" s="294"/>
      <c r="AJ85" s="294"/>
      <c r="AK85" s="294"/>
      <c r="AL85" s="294"/>
      <c r="AM85" s="294"/>
      <c r="AN85" s="294"/>
      <c r="AO85" s="294"/>
    </row>
    <row r="86" spans="1:41" s="2" customFormat="1" ht="13.5" customHeight="1">
      <c r="A86" s="4"/>
      <c r="B86" s="4"/>
      <c r="C86" s="4"/>
      <c r="D86" s="294"/>
      <c r="E86" s="294"/>
      <c r="F86" s="294"/>
      <c r="G86" s="294"/>
      <c r="H86" s="294"/>
      <c r="I86" s="294"/>
      <c r="J86" s="294"/>
      <c r="K86" s="294"/>
      <c r="L86" s="294"/>
      <c r="M86" s="294"/>
      <c r="N86" s="294"/>
      <c r="O86" s="294"/>
      <c r="P86" s="294"/>
      <c r="Q86" s="294"/>
      <c r="R86" s="294"/>
      <c r="S86" s="294"/>
      <c r="T86" s="294"/>
      <c r="U86" s="294"/>
      <c r="V86" s="294"/>
      <c r="W86" s="294"/>
      <c r="X86" s="294"/>
      <c r="Y86" s="294"/>
      <c r="Z86" s="294"/>
      <c r="AA86" s="294"/>
      <c r="AB86" s="294"/>
      <c r="AC86" s="294"/>
      <c r="AD86" s="294"/>
      <c r="AE86" s="294"/>
      <c r="AF86" s="294"/>
      <c r="AG86" s="294"/>
      <c r="AH86" s="294"/>
      <c r="AI86" s="294"/>
      <c r="AJ86" s="294"/>
      <c r="AK86" s="294"/>
      <c r="AL86" s="294"/>
      <c r="AM86" s="294"/>
      <c r="AN86" s="294"/>
      <c r="AO86" s="294"/>
    </row>
    <row r="87" spans="1:41" s="2" customFormat="1" ht="13.5" customHeight="1">
      <c r="A87" s="4"/>
      <c r="B87" s="4"/>
      <c r="C87" s="4"/>
      <c r="D87" s="294"/>
      <c r="E87" s="294"/>
      <c r="F87" s="294"/>
      <c r="G87" s="294"/>
      <c r="H87" s="294"/>
      <c r="I87" s="294"/>
      <c r="J87" s="294"/>
      <c r="K87" s="294"/>
      <c r="L87" s="294"/>
      <c r="M87" s="294"/>
      <c r="N87" s="294"/>
      <c r="O87" s="294"/>
      <c r="P87" s="294"/>
      <c r="Q87" s="294"/>
      <c r="R87" s="294"/>
      <c r="S87" s="294"/>
      <c r="T87" s="294"/>
      <c r="U87" s="294"/>
      <c r="V87" s="294"/>
      <c r="W87" s="294"/>
      <c r="X87" s="294"/>
      <c r="Y87" s="294"/>
      <c r="Z87" s="294"/>
      <c r="AA87" s="294"/>
      <c r="AB87" s="294"/>
      <c r="AC87" s="294"/>
      <c r="AD87" s="294"/>
      <c r="AE87" s="294"/>
      <c r="AF87" s="294"/>
      <c r="AG87" s="294"/>
      <c r="AH87" s="294"/>
      <c r="AI87" s="294"/>
      <c r="AJ87" s="294"/>
      <c r="AK87" s="294"/>
      <c r="AL87" s="294"/>
      <c r="AM87" s="294"/>
      <c r="AN87" s="294"/>
      <c r="AO87" s="294"/>
    </row>
    <row r="88" spans="1:41" s="2" customFormat="1" ht="13.5" customHeight="1">
      <c r="A88" s="4"/>
      <c r="B88" s="4"/>
      <c r="C88" s="4"/>
      <c r="D88" s="294"/>
      <c r="E88" s="294"/>
      <c r="F88" s="294"/>
      <c r="G88" s="294"/>
      <c r="H88" s="294"/>
      <c r="I88" s="294"/>
      <c r="J88" s="294"/>
      <c r="K88" s="294"/>
      <c r="L88" s="294"/>
      <c r="M88" s="294"/>
      <c r="N88" s="294"/>
      <c r="O88" s="294"/>
      <c r="P88" s="294"/>
      <c r="Q88" s="294"/>
      <c r="R88" s="294"/>
      <c r="S88" s="294"/>
      <c r="T88" s="294"/>
      <c r="U88" s="294"/>
      <c r="V88" s="294"/>
      <c r="W88" s="294"/>
      <c r="X88" s="294"/>
      <c r="Y88" s="294"/>
      <c r="Z88" s="294"/>
      <c r="AA88" s="294"/>
      <c r="AB88" s="294"/>
      <c r="AC88" s="294"/>
      <c r="AD88" s="294"/>
      <c r="AE88" s="294"/>
      <c r="AF88" s="294"/>
      <c r="AG88" s="294"/>
      <c r="AH88" s="294"/>
      <c r="AI88" s="294"/>
      <c r="AJ88" s="294"/>
      <c r="AK88" s="294"/>
      <c r="AL88" s="294"/>
      <c r="AM88" s="294"/>
      <c r="AN88" s="294"/>
      <c r="AO88" s="294"/>
    </row>
    <row r="89" spans="1:41" s="2" customFormat="1" ht="13.5" customHeight="1">
      <c r="A89" s="4"/>
      <c r="B89" s="4"/>
      <c r="C89" s="4"/>
      <c r="D89" s="294"/>
      <c r="E89" s="294"/>
      <c r="F89" s="294"/>
      <c r="G89" s="294"/>
      <c r="H89" s="294"/>
      <c r="I89" s="294"/>
      <c r="J89" s="294"/>
      <c r="K89" s="294"/>
      <c r="L89" s="294"/>
      <c r="M89" s="294"/>
      <c r="N89" s="294"/>
      <c r="O89" s="294"/>
      <c r="P89" s="294"/>
      <c r="Q89" s="294"/>
      <c r="R89" s="294"/>
      <c r="S89" s="294"/>
      <c r="T89" s="294"/>
      <c r="U89" s="294"/>
      <c r="V89" s="294"/>
      <c r="W89" s="294"/>
      <c r="X89" s="294"/>
      <c r="Y89" s="294"/>
      <c r="Z89" s="294"/>
      <c r="AA89" s="294"/>
      <c r="AB89" s="294"/>
      <c r="AC89" s="294"/>
      <c r="AD89" s="294"/>
      <c r="AE89" s="294"/>
      <c r="AF89" s="294"/>
      <c r="AG89" s="294"/>
      <c r="AH89" s="294"/>
      <c r="AI89" s="294"/>
      <c r="AJ89" s="294"/>
      <c r="AK89" s="294"/>
      <c r="AL89" s="294"/>
      <c r="AM89" s="294"/>
      <c r="AN89" s="294"/>
      <c r="AO89" s="294"/>
    </row>
    <row r="90" spans="1:41" s="2" customFormat="1" ht="13.5" customHeight="1">
      <c r="A90" s="4"/>
      <c r="B90" s="4"/>
      <c r="C90" s="4"/>
      <c r="D90" s="294"/>
      <c r="E90" s="294"/>
      <c r="F90" s="294"/>
      <c r="G90" s="294"/>
      <c r="H90" s="294"/>
      <c r="I90" s="294"/>
      <c r="J90" s="294"/>
      <c r="K90" s="294"/>
      <c r="L90" s="294"/>
      <c r="M90" s="294"/>
      <c r="N90" s="294"/>
      <c r="O90" s="294"/>
      <c r="P90" s="294"/>
      <c r="Q90" s="294"/>
      <c r="R90" s="294"/>
      <c r="S90" s="294"/>
      <c r="T90" s="294"/>
      <c r="U90" s="294"/>
      <c r="V90" s="294"/>
      <c r="W90" s="294"/>
      <c r="X90" s="294"/>
      <c r="Y90" s="294"/>
      <c r="Z90" s="294"/>
      <c r="AA90" s="294"/>
      <c r="AB90" s="294"/>
      <c r="AC90" s="294"/>
      <c r="AD90" s="294"/>
      <c r="AE90" s="294"/>
      <c r="AF90" s="294"/>
      <c r="AG90" s="294"/>
      <c r="AH90" s="294"/>
      <c r="AI90" s="294"/>
      <c r="AJ90" s="294"/>
      <c r="AK90" s="294"/>
      <c r="AL90" s="294"/>
      <c r="AM90" s="294"/>
      <c r="AN90" s="294"/>
      <c r="AO90" s="294"/>
    </row>
    <row r="91" spans="1:41" s="2" customFormat="1" ht="13.5" customHeight="1">
      <c r="A91" s="4"/>
      <c r="B91" s="4"/>
      <c r="C91" s="4"/>
      <c r="D91" s="294"/>
      <c r="E91" s="294"/>
      <c r="F91" s="294"/>
      <c r="G91" s="294"/>
      <c r="H91" s="294"/>
      <c r="I91" s="294"/>
      <c r="J91" s="294"/>
      <c r="K91" s="294"/>
      <c r="L91" s="294"/>
      <c r="M91" s="294"/>
      <c r="N91" s="294"/>
      <c r="O91" s="294"/>
      <c r="P91" s="294"/>
      <c r="Q91" s="294"/>
      <c r="R91" s="294"/>
      <c r="S91" s="294"/>
      <c r="T91" s="294"/>
      <c r="U91" s="294"/>
      <c r="V91" s="294"/>
      <c r="W91" s="294"/>
      <c r="X91" s="294"/>
      <c r="Y91" s="294"/>
      <c r="Z91" s="294"/>
      <c r="AA91" s="294"/>
      <c r="AB91" s="294"/>
      <c r="AC91" s="294"/>
      <c r="AD91" s="294"/>
      <c r="AE91" s="294"/>
      <c r="AF91" s="294"/>
      <c r="AG91" s="294"/>
      <c r="AH91" s="294"/>
      <c r="AI91" s="294"/>
      <c r="AJ91" s="294"/>
      <c r="AK91" s="294"/>
      <c r="AL91" s="294"/>
      <c r="AM91" s="294"/>
      <c r="AN91" s="294"/>
      <c r="AO91" s="294"/>
    </row>
    <row r="92" spans="1:41" s="2" customFormat="1" ht="13.5" customHeight="1">
      <c r="A92" s="4"/>
      <c r="B92" s="4"/>
      <c r="C92" s="4"/>
      <c r="D92" s="294"/>
      <c r="E92" s="294"/>
      <c r="F92" s="294"/>
      <c r="G92" s="294"/>
      <c r="H92" s="294"/>
      <c r="I92" s="294"/>
      <c r="J92" s="294"/>
      <c r="K92" s="294"/>
      <c r="L92" s="294"/>
      <c r="M92" s="294"/>
      <c r="N92" s="294"/>
      <c r="O92" s="294"/>
      <c r="P92" s="294"/>
      <c r="Q92" s="294"/>
      <c r="R92" s="294"/>
      <c r="S92" s="294"/>
      <c r="T92" s="294"/>
      <c r="U92" s="294"/>
      <c r="V92" s="294"/>
      <c r="W92" s="294"/>
      <c r="X92" s="294"/>
      <c r="Y92" s="294"/>
      <c r="Z92" s="294"/>
      <c r="AA92" s="294"/>
      <c r="AB92" s="294"/>
      <c r="AC92" s="294"/>
      <c r="AD92" s="294"/>
      <c r="AE92" s="294"/>
      <c r="AF92" s="294"/>
      <c r="AG92" s="294"/>
      <c r="AH92" s="294"/>
      <c r="AI92" s="294"/>
      <c r="AJ92" s="294"/>
      <c r="AK92" s="294"/>
      <c r="AL92" s="294"/>
      <c r="AM92" s="294"/>
      <c r="AN92" s="294"/>
      <c r="AO92" s="294"/>
    </row>
    <row r="93" spans="1:41" s="2" customFormat="1" ht="13.5" customHeight="1">
      <c r="A93" s="294"/>
      <c r="B93" s="294"/>
      <c r="C93" s="294"/>
      <c r="D93" s="294"/>
      <c r="E93" s="294"/>
      <c r="F93" s="294"/>
      <c r="G93" s="294"/>
      <c r="H93" s="294"/>
      <c r="I93" s="294"/>
      <c r="J93" s="294"/>
      <c r="K93" s="294"/>
      <c r="L93" s="294"/>
      <c r="M93" s="294"/>
      <c r="N93" s="294"/>
      <c r="O93" s="294"/>
      <c r="P93" s="294"/>
      <c r="Q93" s="294"/>
      <c r="R93" s="294"/>
      <c r="S93" s="294"/>
      <c r="T93" s="294"/>
      <c r="U93" s="294"/>
      <c r="V93" s="294"/>
      <c r="W93" s="294"/>
      <c r="X93" s="294"/>
      <c r="Y93" s="294"/>
      <c r="Z93" s="294"/>
      <c r="AA93" s="294"/>
      <c r="AB93" s="294"/>
      <c r="AC93" s="294"/>
      <c r="AD93" s="294"/>
      <c r="AE93" s="294"/>
      <c r="AF93" s="294"/>
      <c r="AG93" s="294"/>
      <c r="AH93" s="294"/>
      <c r="AI93" s="294"/>
      <c r="AJ93" s="294"/>
      <c r="AK93" s="294"/>
      <c r="AL93" s="294"/>
      <c r="AM93" s="294"/>
      <c r="AN93" s="294"/>
      <c r="AO93" s="294"/>
    </row>
    <row r="94" spans="1:41" s="2" customFormat="1" ht="13.5" customHeight="1">
      <c r="A94" s="294"/>
      <c r="B94" s="294"/>
      <c r="C94" s="294"/>
      <c r="D94" s="294"/>
      <c r="E94" s="294"/>
      <c r="F94" s="294"/>
      <c r="G94" s="294"/>
      <c r="H94" s="294"/>
      <c r="I94" s="294"/>
      <c r="J94" s="294"/>
      <c r="K94" s="294"/>
      <c r="L94" s="294"/>
      <c r="M94" s="294"/>
      <c r="N94" s="294"/>
      <c r="O94" s="294"/>
      <c r="P94" s="294"/>
      <c r="Q94" s="294"/>
      <c r="R94" s="294"/>
      <c r="S94" s="294"/>
      <c r="T94" s="294"/>
      <c r="U94" s="294"/>
      <c r="V94" s="294"/>
      <c r="W94" s="294"/>
      <c r="X94" s="294"/>
      <c r="Y94" s="294"/>
      <c r="Z94" s="294"/>
      <c r="AA94" s="294"/>
      <c r="AB94" s="294"/>
      <c r="AC94" s="294"/>
      <c r="AD94" s="294"/>
      <c r="AE94" s="294"/>
      <c r="AF94" s="294"/>
      <c r="AG94" s="294"/>
      <c r="AH94" s="294"/>
      <c r="AI94" s="294"/>
      <c r="AJ94" s="294"/>
      <c r="AK94" s="294"/>
      <c r="AL94" s="294"/>
      <c r="AM94" s="294"/>
      <c r="AN94" s="294"/>
      <c r="AO94" s="294"/>
    </row>
    <row r="95" spans="1:41" s="2" customFormat="1" ht="13.5" customHeight="1">
      <c r="A95" s="294"/>
      <c r="B95" s="294"/>
      <c r="C95" s="294"/>
      <c r="D95" s="294"/>
      <c r="E95" s="294"/>
      <c r="F95" s="294"/>
      <c r="G95" s="294"/>
      <c r="H95" s="294"/>
      <c r="I95" s="294"/>
      <c r="J95" s="294"/>
      <c r="K95" s="294"/>
      <c r="L95" s="294"/>
      <c r="M95" s="294"/>
      <c r="N95" s="294"/>
      <c r="O95" s="294"/>
      <c r="P95" s="294"/>
      <c r="Q95" s="294"/>
      <c r="R95" s="294"/>
      <c r="S95" s="294"/>
      <c r="T95" s="294"/>
      <c r="U95" s="294"/>
      <c r="V95" s="294"/>
      <c r="W95" s="294"/>
      <c r="X95" s="294"/>
      <c r="Y95" s="294"/>
      <c r="Z95" s="294"/>
      <c r="AA95" s="294"/>
      <c r="AB95" s="294"/>
      <c r="AC95" s="294"/>
      <c r="AD95" s="294"/>
      <c r="AE95" s="294"/>
      <c r="AF95" s="294"/>
      <c r="AG95" s="294"/>
      <c r="AH95" s="294"/>
      <c r="AI95" s="294"/>
      <c r="AJ95" s="294"/>
      <c r="AK95" s="294"/>
      <c r="AL95" s="294"/>
      <c r="AM95" s="294"/>
      <c r="AN95" s="294"/>
      <c r="AO95" s="294"/>
    </row>
    <row r="96" spans="1:41" s="2" customFormat="1" ht="13.5" customHeight="1">
      <c r="A96" s="294"/>
      <c r="B96" s="294"/>
      <c r="C96" s="294"/>
      <c r="D96" s="294"/>
      <c r="E96" s="294"/>
      <c r="F96" s="294"/>
      <c r="G96" s="294"/>
      <c r="H96" s="294"/>
      <c r="I96" s="294"/>
      <c r="J96" s="294"/>
      <c r="K96" s="294"/>
      <c r="L96" s="294"/>
      <c r="M96" s="294"/>
      <c r="N96" s="294"/>
      <c r="O96" s="294"/>
      <c r="P96" s="294"/>
      <c r="Q96" s="294"/>
      <c r="R96" s="294"/>
      <c r="S96" s="294"/>
      <c r="T96" s="294"/>
      <c r="U96" s="294"/>
      <c r="V96" s="294"/>
      <c r="W96" s="294"/>
      <c r="X96" s="294"/>
      <c r="Y96" s="294"/>
      <c r="Z96" s="294"/>
      <c r="AA96" s="294"/>
      <c r="AB96" s="294"/>
      <c r="AC96" s="294"/>
      <c r="AD96" s="294"/>
      <c r="AE96" s="294"/>
      <c r="AF96" s="294"/>
      <c r="AG96" s="294"/>
      <c r="AH96" s="294"/>
      <c r="AI96" s="294"/>
      <c r="AJ96" s="294"/>
      <c r="AK96" s="294"/>
      <c r="AL96" s="294"/>
      <c r="AM96" s="294"/>
      <c r="AN96" s="294"/>
      <c r="AO96" s="294"/>
    </row>
    <row r="97" spans="1:41" s="2" customFormat="1" ht="13.5" customHeight="1">
      <c r="A97" s="294"/>
      <c r="B97" s="294"/>
      <c r="C97" s="294"/>
      <c r="D97" s="294"/>
      <c r="E97" s="294"/>
      <c r="F97" s="294"/>
      <c r="G97" s="294"/>
      <c r="H97" s="294"/>
      <c r="I97" s="294"/>
      <c r="J97" s="294"/>
      <c r="K97" s="294"/>
      <c r="L97" s="294"/>
      <c r="M97" s="294"/>
      <c r="N97" s="294"/>
      <c r="O97" s="294"/>
      <c r="P97" s="294"/>
      <c r="Q97" s="294"/>
      <c r="R97" s="294"/>
      <c r="S97" s="294"/>
      <c r="T97" s="294"/>
      <c r="U97" s="294"/>
      <c r="V97" s="294"/>
      <c r="W97" s="294"/>
      <c r="X97" s="294"/>
      <c r="Y97" s="294"/>
      <c r="Z97" s="294"/>
      <c r="AA97" s="294"/>
      <c r="AB97" s="294"/>
      <c r="AC97" s="294"/>
      <c r="AD97" s="294"/>
      <c r="AE97" s="294"/>
      <c r="AF97" s="294"/>
      <c r="AG97" s="294"/>
      <c r="AH97" s="294"/>
      <c r="AI97" s="294"/>
      <c r="AJ97" s="294"/>
      <c r="AK97" s="294"/>
      <c r="AL97" s="294"/>
      <c r="AM97" s="294"/>
      <c r="AN97" s="294"/>
      <c r="AO97" s="294"/>
    </row>
    <row r="98" spans="1:41" s="2" customFormat="1" ht="13.5" customHeight="1">
      <c r="A98" s="294"/>
      <c r="B98" s="294"/>
      <c r="C98" s="294"/>
      <c r="D98" s="294"/>
      <c r="E98" s="294"/>
      <c r="F98" s="294"/>
      <c r="G98" s="294"/>
      <c r="H98" s="294"/>
      <c r="I98" s="294"/>
      <c r="J98" s="294"/>
      <c r="K98" s="294"/>
      <c r="L98" s="294"/>
      <c r="M98" s="294"/>
      <c r="N98" s="294"/>
      <c r="O98" s="294"/>
      <c r="P98" s="294"/>
      <c r="Q98" s="294"/>
      <c r="R98" s="294"/>
      <c r="S98" s="294"/>
      <c r="T98" s="294"/>
      <c r="U98" s="294"/>
      <c r="V98" s="294"/>
      <c r="W98" s="294"/>
      <c r="X98" s="294"/>
      <c r="Y98" s="294"/>
      <c r="Z98" s="294"/>
      <c r="AA98" s="294"/>
      <c r="AB98" s="294"/>
      <c r="AC98" s="294"/>
      <c r="AD98" s="294"/>
      <c r="AE98" s="294"/>
      <c r="AF98" s="294"/>
      <c r="AG98" s="294"/>
      <c r="AH98" s="294"/>
      <c r="AI98" s="294"/>
      <c r="AJ98" s="294"/>
      <c r="AK98" s="294"/>
      <c r="AL98" s="294"/>
      <c r="AM98" s="294"/>
      <c r="AN98" s="294"/>
      <c r="AO98" s="294"/>
    </row>
    <row r="99" spans="1:41" s="2" customFormat="1" ht="13.5" customHeight="1">
      <c r="A99" s="294"/>
      <c r="B99" s="294"/>
      <c r="C99" s="294"/>
      <c r="D99" s="294"/>
      <c r="E99" s="294"/>
      <c r="F99" s="294"/>
      <c r="G99" s="294"/>
      <c r="H99" s="294"/>
      <c r="I99" s="294"/>
      <c r="J99" s="294"/>
      <c r="K99" s="294"/>
      <c r="L99" s="294"/>
      <c r="M99" s="294"/>
      <c r="N99" s="294"/>
      <c r="O99" s="294"/>
      <c r="P99" s="294"/>
      <c r="Q99" s="294"/>
      <c r="R99" s="294"/>
      <c r="S99" s="294"/>
      <c r="T99" s="294"/>
      <c r="U99" s="294"/>
      <c r="V99" s="294"/>
      <c r="W99" s="294"/>
      <c r="X99" s="294"/>
      <c r="Y99" s="294"/>
      <c r="Z99" s="294"/>
      <c r="AA99" s="294"/>
      <c r="AB99" s="294"/>
      <c r="AC99" s="294"/>
      <c r="AD99" s="294"/>
      <c r="AE99" s="294"/>
      <c r="AF99" s="294"/>
      <c r="AG99" s="294"/>
      <c r="AH99" s="294"/>
      <c r="AI99" s="294"/>
      <c r="AJ99" s="294"/>
      <c r="AK99" s="294"/>
      <c r="AL99" s="294"/>
      <c r="AM99" s="294"/>
      <c r="AN99" s="294"/>
      <c r="AO99" s="294"/>
    </row>
    <row r="100" spans="1:41" s="2" customFormat="1" ht="13.5" customHeight="1">
      <c r="A100" s="294"/>
      <c r="B100" s="294"/>
      <c r="C100" s="294"/>
      <c r="D100" s="294"/>
      <c r="E100" s="294"/>
      <c r="F100" s="294"/>
      <c r="G100" s="294"/>
      <c r="H100" s="294"/>
      <c r="I100" s="294"/>
      <c r="J100" s="294"/>
      <c r="K100" s="294"/>
      <c r="L100" s="294"/>
      <c r="M100" s="294"/>
      <c r="N100" s="294"/>
      <c r="O100" s="294"/>
      <c r="P100" s="294"/>
      <c r="Q100" s="294"/>
      <c r="R100" s="294"/>
      <c r="S100" s="294"/>
      <c r="T100" s="294"/>
      <c r="U100" s="294"/>
      <c r="V100" s="294"/>
      <c r="W100" s="294"/>
      <c r="X100" s="294"/>
      <c r="Y100" s="294"/>
      <c r="Z100" s="294"/>
      <c r="AA100" s="294"/>
      <c r="AB100" s="294"/>
      <c r="AC100" s="294"/>
      <c r="AD100" s="294"/>
      <c r="AE100" s="294"/>
      <c r="AF100" s="294"/>
      <c r="AG100" s="294"/>
      <c r="AH100" s="294"/>
      <c r="AI100" s="294"/>
      <c r="AJ100" s="294"/>
      <c r="AK100" s="294"/>
      <c r="AL100" s="294"/>
      <c r="AM100" s="294"/>
      <c r="AN100" s="294"/>
      <c r="AO100" s="294"/>
    </row>
    <row r="101" spans="1:41" s="2" customFormat="1" ht="13.5" customHeight="1">
      <c r="A101" s="294"/>
      <c r="B101" s="294"/>
      <c r="C101" s="294"/>
      <c r="D101" s="294"/>
      <c r="E101" s="294"/>
      <c r="F101" s="294"/>
      <c r="G101" s="294"/>
      <c r="H101" s="294"/>
      <c r="I101" s="294"/>
      <c r="J101" s="294"/>
      <c r="K101" s="294"/>
      <c r="L101" s="294"/>
      <c r="M101" s="294"/>
      <c r="N101" s="294"/>
      <c r="O101" s="294"/>
      <c r="P101" s="294"/>
      <c r="Q101" s="294"/>
      <c r="R101" s="294"/>
      <c r="S101" s="294"/>
      <c r="T101" s="294"/>
      <c r="U101" s="294"/>
      <c r="V101" s="294"/>
      <c r="W101" s="294"/>
      <c r="X101" s="294"/>
      <c r="Y101" s="294"/>
      <c r="Z101" s="294"/>
      <c r="AA101" s="294"/>
      <c r="AB101" s="294"/>
      <c r="AC101" s="294"/>
      <c r="AD101" s="294"/>
      <c r="AE101" s="294"/>
      <c r="AF101" s="294"/>
      <c r="AG101" s="294"/>
      <c r="AH101" s="294"/>
      <c r="AI101" s="294"/>
      <c r="AJ101" s="294"/>
      <c r="AK101" s="294"/>
      <c r="AL101" s="294"/>
      <c r="AM101" s="294"/>
      <c r="AN101" s="294"/>
      <c r="AO101" s="294"/>
    </row>
    <row r="102" spans="1:41" s="2" customFormat="1" ht="13.5" customHeight="1">
      <c r="A102" s="294"/>
      <c r="B102" s="294"/>
      <c r="C102" s="294"/>
      <c r="D102" s="294"/>
      <c r="E102" s="294"/>
      <c r="F102" s="294"/>
      <c r="G102" s="294"/>
      <c r="H102" s="294"/>
      <c r="I102" s="294"/>
      <c r="J102" s="294"/>
      <c r="K102" s="294"/>
      <c r="L102" s="294"/>
      <c r="M102" s="294"/>
      <c r="N102" s="294"/>
      <c r="O102" s="294"/>
      <c r="P102" s="294"/>
      <c r="Q102" s="294"/>
      <c r="R102" s="294"/>
      <c r="S102" s="294"/>
      <c r="T102" s="294"/>
      <c r="U102" s="294"/>
      <c r="V102" s="294"/>
      <c r="W102" s="294"/>
      <c r="X102" s="294"/>
      <c r="Y102" s="294"/>
      <c r="Z102" s="294"/>
      <c r="AA102" s="294"/>
      <c r="AB102" s="294"/>
      <c r="AC102" s="294"/>
      <c r="AD102" s="294"/>
      <c r="AE102" s="294"/>
      <c r="AF102" s="294"/>
      <c r="AG102" s="294"/>
      <c r="AH102" s="294"/>
      <c r="AI102" s="294"/>
      <c r="AJ102" s="294"/>
      <c r="AK102" s="294"/>
      <c r="AL102" s="294"/>
      <c r="AM102" s="294"/>
      <c r="AN102" s="294"/>
      <c r="AO102" s="294"/>
    </row>
    <row r="103" spans="1:41" s="2" customFormat="1" ht="13.5" customHeight="1">
      <c r="A103" s="294"/>
      <c r="B103" s="294"/>
      <c r="C103" s="294"/>
      <c r="D103" s="294"/>
      <c r="E103" s="294"/>
      <c r="F103" s="294"/>
      <c r="G103" s="294"/>
      <c r="H103" s="294"/>
      <c r="I103" s="294"/>
      <c r="J103" s="294"/>
      <c r="K103" s="294"/>
      <c r="L103" s="294"/>
      <c r="M103" s="294"/>
      <c r="N103" s="294"/>
      <c r="O103" s="294"/>
      <c r="P103" s="294"/>
      <c r="Q103" s="294"/>
      <c r="R103" s="294"/>
      <c r="S103" s="294"/>
      <c r="T103" s="294"/>
      <c r="U103" s="294"/>
      <c r="V103" s="294"/>
      <c r="W103" s="294"/>
      <c r="X103" s="294"/>
      <c r="Y103" s="294"/>
      <c r="Z103" s="294"/>
      <c r="AA103" s="294"/>
      <c r="AB103" s="294"/>
      <c r="AC103" s="294"/>
      <c r="AD103" s="294"/>
      <c r="AE103" s="294"/>
      <c r="AF103" s="294"/>
      <c r="AG103" s="294"/>
      <c r="AH103" s="294"/>
      <c r="AI103" s="294"/>
      <c r="AJ103" s="294"/>
      <c r="AK103" s="294"/>
      <c r="AL103" s="294"/>
      <c r="AM103" s="294"/>
      <c r="AN103" s="294"/>
      <c r="AO103" s="294"/>
    </row>
    <row r="104" spans="1:41" s="2" customFormat="1" ht="13.5" customHeight="1">
      <c r="A104" s="294"/>
      <c r="B104" s="294"/>
      <c r="C104" s="294"/>
      <c r="D104" s="294"/>
      <c r="E104" s="294"/>
      <c r="F104" s="294"/>
      <c r="G104" s="294"/>
      <c r="H104" s="294"/>
      <c r="I104" s="294"/>
      <c r="J104" s="294"/>
      <c r="K104" s="294"/>
      <c r="L104" s="294"/>
      <c r="M104" s="294"/>
      <c r="N104" s="294"/>
      <c r="O104" s="294"/>
      <c r="P104" s="294"/>
      <c r="Q104" s="294"/>
      <c r="R104" s="294"/>
      <c r="S104" s="294"/>
      <c r="T104" s="294"/>
      <c r="U104" s="294"/>
      <c r="V104" s="294"/>
      <c r="W104" s="294"/>
      <c r="X104" s="294"/>
      <c r="Y104" s="294"/>
      <c r="Z104" s="294"/>
      <c r="AA104" s="294"/>
      <c r="AB104" s="294"/>
      <c r="AC104" s="294"/>
      <c r="AD104" s="294"/>
      <c r="AE104" s="294"/>
      <c r="AF104" s="294"/>
      <c r="AG104" s="294"/>
      <c r="AH104" s="294"/>
      <c r="AI104" s="294"/>
      <c r="AJ104" s="294"/>
      <c r="AK104" s="294"/>
      <c r="AL104" s="294"/>
      <c r="AM104" s="294"/>
      <c r="AN104" s="294"/>
      <c r="AO104" s="294"/>
    </row>
    <row r="105" spans="1:41" s="2" customFormat="1" ht="13.5" customHeight="1">
      <c r="A105" s="294"/>
      <c r="B105" s="294"/>
      <c r="C105" s="294"/>
      <c r="D105" s="294"/>
      <c r="E105" s="294"/>
      <c r="F105" s="294"/>
      <c r="G105" s="294"/>
      <c r="H105" s="294"/>
      <c r="I105" s="294"/>
      <c r="J105" s="294"/>
      <c r="K105" s="294"/>
      <c r="L105" s="294"/>
      <c r="M105" s="294"/>
      <c r="N105" s="294"/>
      <c r="O105" s="294"/>
      <c r="P105" s="294"/>
      <c r="Q105" s="294"/>
      <c r="R105" s="294"/>
      <c r="S105" s="294"/>
      <c r="T105" s="294"/>
      <c r="U105" s="294"/>
      <c r="V105" s="294"/>
      <c r="W105" s="294"/>
      <c r="X105" s="294"/>
      <c r="Y105" s="294"/>
      <c r="Z105" s="294"/>
      <c r="AA105" s="294"/>
      <c r="AB105" s="294"/>
      <c r="AC105" s="294"/>
      <c r="AD105" s="294"/>
      <c r="AE105" s="294"/>
      <c r="AF105" s="294"/>
      <c r="AG105" s="294"/>
      <c r="AH105" s="294"/>
      <c r="AI105" s="294"/>
      <c r="AJ105" s="294"/>
      <c r="AK105" s="294"/>
      <c r="AL105" s="294"/>
      <c r="AM105" s="294"/>
      <c r="AN105" s="294"/>
      <c r="AO105" s="294"/>
    </row>
    <row r="106" spans="1:41" s="2" customFormat="1" ht="13.5" customHeight="1">
      <c r="A106" s="294"/>
      <c r="B106" s="294"/>
      <c r="C106" s="294"/>
      <c r="D106" s="294"/>
      <c r="E106" s="294"/>
      <c r="F106" s="294"/>
      <c r="G106" s="294"/>
      <c r="H106" s="294"/>
      <c r="I106" s="294"/>
      <c r="J106" s="294"/>
      <c r="K106" s="294"/>
      <c r="L106" s="294"/>
      <c r="M106" s="294"/>
      <c r="N106" s="294"/>
      <c r="O106" s="294"/>
      <c r="P106" s="294"/>
      <c r="Q106" s="294"/>
      <c r="R106" s="294"/>
      <c r="S106" s="294"/>
      <c r="T106" s="294"/>
      <c r="U106" s="294"/>
      <c r="V106" s="294"/>
      <c r="W106" s="294"/>
      <c r="X106" s="294"/>
      <c r="Y106" s="294"/>
      <c r="Z106" s="294"/>
      <c r="AA106" s="294"/>
      <c r="AB106" s="294"/>
      <c r="AC106" s="294"/>
      <c r="AD106" s="294"/>
      <c r="AE106" s="294"/>
      <c r="AF106" s="294"/>
      <c r="AG106" s="294"/>
      <c r="AH106" s="294"/>
      <c r="AI106" s="294"/>
      <c r="AJ106" s="294"/>
      <c r="AK106" s="294"/>
      <c r="AL106" s="294"/>
      <c r="AM106" s="294"/>
      <c r="AN106" s="294"/>
      <c r="AO106" s="294"/>
    </row>
    <row r="107" spans="1:41" s="2" customFormat="1" ht="13.5" customHeight="1">
      <c r="A107" s="294"/>
      <c r="B107" s="294"/>
      <c r="C107" s="294"/>
      <c r="D107" s="294"/>
      <c r="E107" s="294"/>
      <c r="F107" s="294"/>
      <c r="G107" s="294"/>
      <c r="H107" s="294"/>
      <c r="I107" s="294"/>
      <c r="J107" s="294"/>
      <c r="K107" s="294"/>
      <c r="L107" s="294"/>
      <c r="M107" s="294"/>
      <c r="N107" s="294"/>
      <c r="O107" s="294"/>
      <c r="P107" s="294"/>
      <c r="Q107" s="294"/>
      <c r="R107" s="294"/>
      <c r="S107" s="294"/>
      <c r="T107" s="294"/>
      <c r="U107" s="294"/>
      <c r="V107" s="294"/>
      <c r="W107" s="294"/>
      <c r="X107" s="294"/>
      <c r="Y107" s="294"/>
      <c r="Z107" s="294"/>
      <c r="AA107" s="294"/>
      <c r="AB107" s="294"/>
      <c r="AC107" s="294"/>
      <c r="AD107" s="294"/>
      <c r="AE107" s="294"/>
      <c r="AF107" s="294"/>
      <c r="AG107" s="294"/>
      <c r="AH107" s="294"/>
      <c r="AI107" s="294"/>
      <c r="AJ107" s="294"/>
      <c r="AK107" s="294"/>
      <c r="AL107" s="294"/>
      <c r="AM107" s="294"/>
      <c r="AN107" s="294"/>
      <c r="AO107" s="294"/>
    </row>
    <row r="108" spans="1:41" s="2" customFormat="1" ht="13.5" customHeight="1">
      <c r="A108" s="294"/>
      <c r="B108" s="294"/>
      <c r="C108" s="294"/>
      <c r="D108" s="294"/>
      <c r="E108" s="294"/>
      <c r="F108" s="294"/>
      <c r="G108" s="294"/>
      <c r="H108" s="294"/>
      <c r="I108" s="294"/>
      <c r="J108" s="294"/>
      <c r="K108" s="294"/>
      <c r="L108" s="294"/>
      <c r="M108" s="294"/>
      <c r="N108" s="294"/>
      <c r="O108" s="294"/>
      <c r="P108" s="294"/>
      <c r="Q108" s="294"/>
      <c r="R108" s="294"/>
      <c r="S108" s="294"/>
      <c r="T108" s="294"/>
      <c r="U108" s="294"/>
      <c r="V108" s="294"/>
      <c r="W108" s="294"/>
      <c r="X108" s="294"/>
      <c r="Y108" s="294"/>
      <c r="Z108" s="294"/>
      <c r="AA108" s="294"/>
      <c r="AB108" s="294"/>
      <c r="AC108" s="294"/>
      <c r="AD108" s="294"/>
      <c r="AE108" s="294"/>
      <c r="AF108" s="294"/>
      <c r="AG108" s="294"/>
      <c r="AH108" s="294"/>
      <c r="AI108" s="294"/>
      <c r="AJ108" s="294"/>
      <c r="AK108" s="294"/>
      <c r="AL108" s="294"/>
      <c r="AM108" s="294"/>
      <c r="AN108" s="294"/>
      <c r="AO108" s="294"/>
    </row>
    <row r="109" spans="1:41" s="2" customFormat="1" ht="13.5" customHeight="1">
      <c r="A109" s="294"/>
      <c r="B109" s="294"/>
      <c r="C109" s="294"/>
      <c r="D109" s="294"/>
      <c r="E109" s="294"/>
      <c r="F109" s="294"/>
      <c r="G109" s="294"/>
      <c r="H109" s="294"/>
      <c r="I109" s="294"/>
      <c r="J109" s="294"/>
      <c r="K109" s="294"/>
      <c r="L109" s="294"/>
      <c r="M109" s="294"/>
      <c r="N109" s="294"/>
      <c r="O109" s="294"/>
      <c r="P109" s="294"/>
      <c r="Q109" s="294"/>
      <c r="R109" s="294"/>
      <c r="S109" s="294"/>
      <c r="T109" s="294"/>
      <c r="U109" s="294"/>
      <c r="V109" s="294"/>
      <c r="W109" s="294"/>
      <c r="X109" s="294"/>
      <c r="Y109" s="294"/>
      <c r="Z109" s="294"/>
      <c r="AA109" s="294"/>
      <c r="AB109" s="294"/>
      <c r="AC109" s="294"/>
      <c r="AD109" s="294"/>
      <c r="AE109" s="294"/>
      <c r="AF109" s="294"/>
      <c r="AG109" s="294"/>
      <c r="AH109" s="294"/>
      <c r="AI109" s="294"/>
      <c r="AJ109" s="294"/>
      <c r="AK109" s="294"/>
      <c r="AL109" s="294"/>
      <c r="AM109" s="294"/>
      <c r="AN109" s="294"/>
      <c r="AO109" s="294"/>
    </row>
    <row r="110" spans="1:41" s="2" customFormat="1" ht="13.5" customHeight="1">
      <c r="A110" s="294"/>
      <c r="B110" s="294"/>
      <c r="C110" s="294"/>
      <c r="D110" s="294"/>
      <c r="E110" s="294"/>
      <c r="F110" s="294"/>
      <c r="G110" s="294"/>
      <c r="H110" s="294"/>
      <c r="I110" s="294"/>
      <c r="J110" s="294"/>
      <c r="K110" s="294"/>
      <c r="L110" s="294"/>
      <c r="M110" s="294"/>
      <c r="N110" s="294"/>
      <c r="O110" s="294"/>
      <c r="P110" s="294"/>
      <c r="Q110" s="294"/>
      <c r="R110" s="294"/>
      <c r="S110" s="294"/>
      <c r="T110" s="294"/>
      <c r="U110" s="294"/>
      <c r="V110" s="294"/>
      <c r="W110" s="294"/>
      <c r="X110" s="294"/>
      <c r="Y110" s="294"/>
      <c r="Z110" s="294"/>
      <c r="AA110" s="294"/>
      <c r="AB110" s="294"/>
      <c r="AC110" s="294"/>
      <c r="AD110" s="294"/>
      <c r="AE110" s="294"/>
      <c r="AF110" s="294"/>
      <c r="AG110" s="294"/>
      <c r="AH110" s="294"/>
      <c r="AI110" s="294"/>
      <c r="AJ110" s="294"/>
      <c r="AK110" s="294"/>
      <c r="AL110" s="294"/>
      <c r="AM110" s="294"/>
      <c r="AN110" s="294"/>
      <c r="AO110" s="294"/>
    </row>
    <row r="111" spans="1:41" s="2" customFormat="1" ht="13.5" customHeight="1">
      <c r="A111" s="294"/>
      <c r="B111" s="294"/>
      <c r="C111" s="294"/>
      <c r="D111" s="294"/>
      <c r="E111" s="294"/>
      <c r="F111" s="294"/>
      <c r="G111" s="294"/>
      <c r="H111" s="294"/>
      <c r="I111" s="294"/>
      <c r="J111" s="294"/>
      <c r="K111" s="294"/>
      <c r="L111" s="294"/>
      <c r="M111" s="294"/>
      <c r="N111" s="294"/>
      <c r="O111" s="294"/>
      <c r="P111" s="294"/>
      <c r="Q111" s="294"/>
      <c r="R111" s="294"/>
      <c r="S111" s="294"/>
      <c r="T111" s="294"/>
      <c r="U111" s="294"/>
      <c r="V111" s="294"/>
      <c r="W111" s="294"/>
      <c r="X111" s="294"/>
      <c r="Y111" s="294"/>
      <c r="Z111" s="294"/>
      <c r="AA111" s="294"/>
      <c r="AB111" s="294"/>
      <c r="AC111" s="294"/>
      <c r="AD111" s="294"/>
      <c r="AE111" s="294"/>
      <c r="AF111" s="294"/>
      <c r="AG111" s="294"/>
      <c r="AH111" s="294"/>
      <c r="AI111" s="294"/>
      <c r="AJ111" s="294"/>
      <c r="AK111" s="294"/>
      <c r="AL111" s="294"/>
      <c r="AM111" s="294"/>
      <c r="AN111" s="294"/>
      <c r="AO111" s="294"/>
    </row>
    <row r="112" spans="1:41" s="2" customFormat="1" ht="13.5" customHeight="1">
      <c r="A112" s="294"/>
      <c r="B112" s="294"/>
      <c r="C112" s="294"/>
      <c r="D112" s="294"/>
      <c r="E112" s="294"/>
      <c r="F112" s="294"/>
      <c r="G112" s="294"/>
      <c r="H112" s="294"/>
      <c r="I112" s="294"/>
      <c r="J112" s="294"/>
      <c r="K112" s="294"/>
      <c r="L112" s="294"/>
      <c r="M112" s="294"/>
      <c r="N112" s="294"/>
      <c r="O112" s="294"/>
      <c r="P112" s="294"/>
      <c r="Q112" s="294"/>
      <c r="R112" s="294"/>
      <c r="S112" s="294"/>
      <c r="T112" s="294"/>
      <c r="U112" s="294"/>
      <c r="V112" s="294"/>
      <c r="W112" s="294"/>
      <c r="X112" s="294"/>
      <c r="Y112" s="294"/>
      <c r="Z112" s="294"/>
      <c r="AA112" s="294"/>
      <c r="AB112" s="294"/>
      <c r="AC112" s="294"/>
      <c r="AD112" s="294"/>
      <c r="AE112" s="294"/>
      <c r="AF112" s="294"/>
      <c r="AG112" s="294"/>
      <c r="AH112" s="294"/>
      <c r="AI112" s="294"/>
      <c r="AJ112" s="294"/>
      <c r="AK112" s="294"/>
      <c r="AL112" s="294"/>
      <c r="AM112" s="294"/>
      <c r="AN112" s="294"/>
      <c r="AO112" s="294"/>
    </row>
    <row r="113" spans="1:41" s="2" customFormat="1" ht="13.5" customHeight="1">
      <c r="A113" s="294"/>
      <c r="B113" s="294"/>
      <c r="C113" s="294"/>
      <c r="D113" s="294"/>
      <c r="E113" s="294"/>
      <c r="F113" s="294"/>
      <c r="G113" s="294"/>
      <c r="H113" s="294"/>
      <c r="I113" s="294"/>
      <c r="J113" s="294"/>
      <c r="K113" s="294"/>
      <c r="L113" s="294"/>
      <c r="M113" s="294"/>
      <c r="N113" s="294"/>
      <c r="O113" s="294"/>
      <c r="P113" s="294"/>
      <c r="Q113" s="294"/>
      <c r="R113" s="294"/>
      <c r="S113" s="294"/>
      <c r="T113" s="294"/>
      <c r="U113" s="294"/>
      <c r="V113" s="294"/>
      <c r="W113" s="294"/>
      <c r="X113" s="294"/>
      <c r="Y113" s="294"/>
      <c r="Z113" s="294"/>
      <c r="AA113" s="294"/>
      <c r="AB113" s="294"/>
      <c r="AC113" s="294"/>
      <c r="AD113" s="294"/>
      <c r="AE113" s="294"/>
      <c r="AF113" s="294"/>
      <c r="AG113" s="294"/>
      <c r="AH113" s="294"/>
      <c r="AI113" s="294"/>
      <c r="AJ113" s="294"/>
      <c r="AK113" s="294"/>
      <c r="AL113" s="294"/>
      <c r="AM113" s="294"/>
      <c r="AN113" s="294"/>
      <c r="AO113" s="294"/>
    </row>
    <row r="114" spans="1:41" s="2" customFormat="1" ht="13.5" customHeight="1">
      <c r="A114" s="294"/>
      <c r="B114" s="294"/>
      <c r="C114" s="294"/>
      <c r="D114" s="294"/>
      <c r="E114" s="294"/>
      <c r="F114" s="294"/>
      <c r="G114" s="294"/>
      <c r="H114" s="294"/>
      <c r="I114" s="294"/>
      <c r="J114" s="294"/>
      <c r="K114" s="294"/>
      <c r="L114" s="294"/>
      <c r="M114" s="294"/>
      <c r="N114" s="294"/>
      <c r="O114" s="294"/>
      <c r="P114" s="294"/>
      <c r="Q114" s="294"/>
      <c r="R114" s="294"/>
      <c r="S114" s="294"/>
      <c r="T114" s="294"/>
      <c r="U114" s="294"/>
      <c r="V114" s="294"/>
      <c r="W114" s="294"/>
      <c r="X114" s="294"/>
      <c r="Y114" s="294"/>
      <c r="Z114" s="294"/>
      <c r="AA114" s="294"/>
      <c r="AB114" s="294"/>
      <c r="AC114" s="294"/>
      <c r="AD114" s="294"/>
      <c r="AE114" s="294"/>
      <c r="AF114" s="294"/>
      <c r="AG114" s="294"/>
      <c r="AH114" s="294"/>
      <c r="AI114" s="294"/>
      <c r="AJ114" s="294"/>
      <c r="AK114" s="294"/>
      <c r="AL114" s="294"/>
      <c r="AM114" s="294"/>
      <c r="AN114" s="294"/>
      <c r="AO114" s="294"/>
    </row>
    <row r="115" spans="1:41" s="2" customFormat="1" ht="13.5" customHeight="1">
      <c r="A115" s="294"/>
      <c r="B115" s="294"/>
      <c r="C115" s="294"/>
      <c r="D115" s="294"/>
      <c r="E115" s="294"/>
      <c r="F115" s="294"/>
      <c r="G115" s="294"/>
      <c r="H115" s="294"/>
      <c r="I115" s="294"/>
      <c r="J115" s="294"/>
      <c r="K115" s="294"/>
      <c r="L115" s="294"/>
      <c r="M115" s="294"/>
      <c r="N115" s="294"/>
      <c r="O115" s="294"/>
      <c r="P115" s="294"/>
      <c r="Q115" s="294"/>
      <c r="R115" s="294"/>
      <c r="S115" s="294"/>
      <c r="T115" s="294"/>
      <c r="U115" s="294"/>
      <c r="V115" s="294"/>
      <c r="W115" s="294"/>
      <c r="X115" s="294"/>
      <c r="Y115" s="294"/>
      <c r="Z115" s="294"/>
      <c r="AA115" s="294"/>
      <c r="AB115" s="294"/>
      <c r="AC115" s="294"/>
      <c r="AD115" s="294"/>
      <c r="AE115" s="294"/>
      <c r="AF115" s="294"/>
      <c r="AG115" s="294"/>
      <c r="AH115" s="294"/>
      <c r="AI115" s="294"/>
      <c r="AJ115" s="294"/>
      <c r="AK115" s="294"/>
      <c r="AL115" s="294"/>
      <c r="AM115" s="294"/>
      <c r="AN115" s="294"/>
      <c r="AO115" s="294"/>
    </row>
    <row r="116" spans="1:41" s="2" customFormat="1" ht="13.5" customHeight="1">
      <c r="A116" s="294"/>
      <c r="B116" s="294"/>
      <c r="C116" s="294"/>
      <c r="D116" s="294"/>
      <c r="E116" s="294"/>
      <c r="F116" s="294"/>
      <c r="G116" s="294"/>
      <c r="H116" s="294"/>
      <c r="I116" s="294"/>
      <c r="J116" s="294"/>
      <c r="K116" s="294"/>
      <c r="L116" s="294"/>
      <c r="M116" s="294"/>
      <c r="N116" s="294"/>
      <c r="O116" s="294"/>
      <c r="P116" s="294"/>
      <c r="Q116" s="294"/>
      <c r="R116" s="294"/>
      <c r="S116" s="294"/>
      <c r="T116" s="294"/>
      <c r="U116" s="294"/>
      <c r="V116" s="294"/>
      <c r="W116" s="294"/>
      <c r="X116" s="294"/>
      <c r="Y116" s="294"/>
      <c r="Z116" s="294"/>
      <c r="AA116" s="294"/>
      <c r="AB116" s="294"/>
      <c r="AC116" s="294"/>
      <c r="AD116" s="294"/>
      <c r="AE116" s="294"/>
      <c r="AF116" s="294"/>
      <c r="AG116" s="294"/>
      <c r="AH116" s="294"/>
      <c r="AI116" s="294"/>
      <c r="AJ116" s="294"/>
      <c r="AK116" s="294"/>
      <c r="AL116" s="294"/>
      <c r="AM116" s="294"/>
      <c r="AN116" s="294"/>
      <c r="AO116" s="294"/>
    </row>
    <row r="117" spans="1:52" s="2" customFormat="1" ht="13.5" customHeight="1">
      <c r="A117" s="294"/>
      <c r="B117" s="294"/>
      <c r="C117" s="294"/>
      <c r="D117" s="294"/>
      <c r="E117" s="294"/>
      <c r="F117" s="294"/>
      <c r="G117" s="294"/>
      <c r="H117" s="294"/>
      <c r="I117" s="294"/>
      <c r="J117" s="294"/>
      <c r="K117" s="294"/>
      <c r="L117" s="294"/>
      <c r="M117" s="294"/>
      <c r="N117" s="294"/>
      <c r="O117" s="294"/>
      <c r="P117" s="294"/>
      <c r="Q117" s="294"/>
      <c r="R117" s="294"/>
      <c r="S117" s="294"/>
      <c r="T117" s="294"/>
      <c r="U117" s="294"/>
      <c r="V117" s="294"/>
      <c r="W117" s="294"/>
      <c r="X117" s="294"/>
      <c r="Y117" s="294"/>
      <c r="Z117" s="294"/>
      <c r="AA117" s="294"/>
      <c r="AB117" s="294"/>
      <c r="AC117" s="294"/>
      <c r="AD117" s="294"/>
      <c r="AE117" s="294"/>
      <c r="AF117" s="294"/>
      <c r="AG117" s="294"/>
      <c r="AH117" s="294"/>
      <c r="AI117" s="294"/>
      <c r="AJ117" s="294"/>
      <c r="AK117" s="294"/>
      <c r="AL117" s="294"/>
      <c r="AM117" s="294"/>
      <c r="AN117" s="294"/>
      <c r="AO117" s="294"/>
      <c r="AZ117"/>
    </row>
    <row r="118" spans="1:52" s="2" customFormat="1" ht="13.5" customHeight="1">
      <c r="A118" s="294"/>
      <c r="B118" s="294"/>
      <c r="C118" s="294"/>
      <c r="D118" s="294"/>
      <c r="E118" s="294"/>
      <c r="F118" s="294"/>
      <c r="G118" s="294"/>
      <c r="H118" s="294"/>
      <c r="I118" s="294"/>
      <c r="J118" s="294"/>
      <c r="K118" s="294"/>
      <c r="L118" s="294"/>
      <c r="M118" s="294"/>
      <c r="N118" s="294"/>
      <c r="O118" s="294"/>
      <c r="P118" s="294"/>
      <c r="Q118" s="294"/>
      <c r="R118" s="294"/>
      <c r="S118" s="294"/>
      <c r="T118" s="294"/>
      <c r="U118" s="294"/>
      <c r="V118" s="294"/>
      <c r="W118" s="294"/>
      <c r="X118" s="294"/>
      <c r="Y118" s="294"/>
      <c r="Z118" s="294"/>
      <c r="AA118" s="294"/>
      <c r="AB118" s="294"/>
      <c r="AC118" s="294"/>
      <c r="AD118" s="294"/>
      <c r="AE118" s="294"/>
      <c r="AF118" s="294"/>
      <c r="AG118" s="294"/>
      <c r="AH118" s="294"/>
      <c r="AI118" s="294"/>
      <c r="AJ118" s="294"/>
      <c r="AK118" s="294"/>
      <c r="AL118" s="294"/>
      <c r="AM118" s="294"/>
      <c r="AN118" s="294"/>
      <c r="AO118" s="294"/>
      <c r="AZ118"/>
    </row>
    <row r="119" spans="1:52" s="2" customFormat="1" ht="13.5" customHeight="1">
      <c r="A119" s="294"/>
      <c r="B119" s="294"/>
      <c r="C119" s="294"/>
      <c r="D119" s="294"/>
      <c r="E119" s="294"/>
      <c r="F119" s="294"/>
      <c r="G119" s="294"/>
      <c r="H119" s="294"/>
      <c r="I119" s="294"/>
      <c r="J119" s="294"/>
      <c r="K119" s="294"/>
      <c r="L119" s="294"/>
      <c r="M119" s="294"/>
      <c r="N119" s="294"/>
      <c r="O119" s="294"/>
      <c r="P119" s="294"/>
      <c r="Q119" s="294"/>
      <c r="R119" s="294"/>
      <c r="S119" s="294"/>
      <c r="T119" s="294"/>
      <c r="U119" s="294"/>
      <c r="V119" s="294"/>
      <c r="W119" s="294"/>
      <c r="X119" s="294"/>
      <c r="Y119" s="294"/>
      <c r="Z119" s="294"/>
      <c r="AA119" s="294"/>
      <c r="AB119" s="294"/>
      <c r="AC119" s="294"/>
      <c r="AD119" s="294"/>
      <c r="AE119" s="294"/>
      <c r="AF119" s="294"/>
      <c r="AG119" s="294"/>
      <c r="AH119" s="294"/>
      <c r="AI119" s="294"/>
      <c r="AJ119" s="294"/>
      <c r="AK119" s="294"/>
      <c r="AL119" s="294"/>
      <c r="AM119" s="294"/>
      <c r="AN119" s="294"/>
      <c r="AO119" s="294"/>
      <c r="AZ119"/>
    </row>
    <row r="120" spans="1:41" s="2" customFormat="1" ht="13.5" customHeight="1">
      <c r="A120" s="294"/>
      <c r="B120" s="294"/>
      <c r="C120" s="294"/>
      <c r="D120" s="294"/>
      <c r="E120" s="294"/>
      <c r="F120" s="294"/>
      <c r="G120" s="294"/>
      <c r="H120" s="294"/>
      <c r="I120" s="294"/>
      <c r="J120" s="294"/>
      <c r="K120" s="294"/>
      <c r="L120" s="294"/>
      <c r="M120" s="294"/>
      <c r="N120" s="294"/>
      <c r="O120" s="294"/>
      <c r="P120" s="294"/>
      <c r="Q120" s="294"/>
      <c r="R120" s="294"/>
      <c r="S120" s="294"/>
      <c r="T120" s="294"/>
      <c r="U120" s="294"/>
      <c r="V120" s="294"/>
      <c r="W120" s="294"/>
      <c r="X120" s="294"/>
      <c r="Y120" s="294"/>
      <c r="Z120" s="294"/>
      <c r="AA120" s="294"/>
      <c r="AB120" s="294"/>
      <c r="AC120" s="294"/>
      <c r="AD120" s="294"/>
      <c r="AE120" s="294"/>
      <c r="AF120" s="294"/>
      <c r="AG120" s="294"/>
      <c r="AH120" s="294"/>
      <c r="AI120" s="294"/>
      <c r="AJ120" s="294"/>
      <c r="AK120" s="294"/>
      <c r="AL120" s="294"/>
      <c r="AM120" s="294"/>
      <c r="AN120" s="294"/>
      <c r="AO120" s="294"/>
    </row>
    <row r="121" spans="1:41" s="2" customFormat="1" ht="13.5" customHeight="1">
      <c r="A121" s="294"/>
      <c r="B121" s="294"/>
      <c r="C121" s="294"/>
      <c r="D121" s="294"/>
      <c r="E121" s="294"/>
      <c r="F121" s="294"/>
      <c r="G121" s="294"/>
      <c r="H121" s="294"/>
      <c r="I121" s="294"/>
      <c r="J121" s="294"/>
      <c r="K121" s="294"/>
      <c r="L121" s="294"/>
      <c r="M121" s="294"/>
      <c r="N121" s="294"/>
      <c r="O121" s="294"/>
      <c r="P121" s="294"/>
      <c r="Q121" s="294"/>
      <c r="R121" s="294"/>
      <c r="S121" s="294"/>
      <c r="T121" s="294"/>
      <c r="U121" s="294"/>
      <c r="V121" s="294"/>
      <c r="W121" s="294"/>
      <c r="X121" s="294"/>
      <c r="Y121" s="294"/>
      <c r="Z121" s="294"/>
      <c r="AA121" s="294"/>
      <c r="AB121" s="294"/>
      <c r="AC121" s="294"/>
      <c r="AD121" s="294"/>
      <c r="AE121" s="294"/>
      <c r="AF121" s="294"/>
      <c r="AG121" s="294"/>
      <c r="AH121" s="294"/>
      <c r="AI121" s="294"/>
      <c r="AJ121" s="294"/>
      <c r="AK121" s="294"/>
      <c r="AL121" s="294"/>
      <c r="AM121" s="294"/>
      <c r="AN121" s="294"/>
      <c r="AO121" s="294"/>
    </row>
    <row r="122" spans="1:41" s="2" customFormat="1" ht="13.5" customHeight="1">
      <c r="A122" s="294"/>
      <c r="B122" s="294"/>
      <c r="C122" s="294"/>
      <c r="D122" s="294"/>
      <c r="E122" s="294"/>
      <c r="F122" s="294"/>
      <c r="G122" s="294"/>
      <c r="H122" s="294"/>
      <c r="I122" s="294"/>
      <c r="J122" s="294"/>
      <c r="K122" s="294"/>
      <c r="L122" s="294"/>
      <c r="M122" s="294"/>
      <c r="N122" s="294"/>
      <c r="O122" s="294"/>
      <c r="P122" s="294"/>
      <c r="Q122" s="294"/>
      <c r="R122" s="294"/>
      <c r="S122" s="294"/>
      <c r="T122" s="294"/>
      <c r="U122" s="294"/>
      <c r="V122" s="294"/>
      <c r="W122" s="294"/>
      <c r="X122" s="294"/>
      <c r="Y122" s="294"/>
      <c r="Z122" s="294"/>
      <c r="AA122" s="294"/>
      <c r="AB122" s="294"/>
      <c r="AC122" s="294"/>
      <c r="AD122" s="294"/>
      <c r="AE122" s="294"/>
      <c r="AF122" s="294"/>
      <c r="AG122" s="294"/>
      <c r="AH122" s="294"/>
      <c r="AI122" s="294"/>
      <c r="AJ122" s="294"/>
      <c r="AK122" s="294"/>
      <c r="AL122" s="294"/>
      <c r="AM122" s="294"/>
      <c r="AN122" s="294"/>
      <c r="AO122" s="294"/>
    </row>
    <row r="123" spans="1:41" s="2" customFormat="1" ht="13.5" customHeight="1">
      <c r="A123" s="294"/>
      <c r="B123" s="294"/>
      <c r="C123" s="294"/>
      <c r="D123" s="294"/>
      <c r="E123" s="294"/>
      <c r="F123" s="294"/>
      <c r="G123" s="294"/>
      <c r="H123" s="294"/>
      <c r="I123" s="294"/>
      <c r="J123" s="294"/>
      <c r="K123" s="294"/>
      <c r="L123" s="294"/>
      <c r="M123" s="294"/>
      <c r="N123" s="294"/>
      <c r="O123" s="294"/>
      <c r="P123" s="294"/>
      <c r="Q123" s="294"/>
      <c r="R123" s="294"/>
      <c r="S123" s="294"/>
      <c r="T123" s="294"/>
      <c r="U123" s="294"/>
      <c r="V123" s="294"/>
      <c r="W123" s="294"/>
      <c r="X123" s="294"/>
      <c r="Y123" s="294"/>
      <c r="Z123" s="294"/>
      <c r="AA123" s="294"/>
      <c r="AB123" s="294"/>
      <c r="AC123" s="294"/>
      <c r="AD123" s="294"/>
      <c r="AE123" s="294"/>
      <c r="AF123" s="294"/>
      <c r="AG123" s="294"/>
      <c r="AH123" s="294"/>
      <c r="AI123" s="294"/>
      <c r="AJ123" s="294"/>
      <c r="AK123" s="294"/>
      <c r="AL123" s="294"/>
      <c r="AM123" s="294"/>
      <c r="AN123" s="294"/>
      <c r="AO123" s="294"/>
    </row>
    <row r="124" spans="1:41" s="2" customFormat="1" ht="13.5" customHeight="1">
      <c r="A124" s="294"/>
      <c r="B124" s="294"/>
      <c r="C124" s="294"/>
      <c r="D124" s="294"/>
      <c r="E124" s="294"/>
      <c r="F124" s="294"/>
      <c r="G124" s="294"/>
      <c r="H124" s="294"/>
      <c r="I124" s="294"/>
      <c r="J124" s="294"/>
      <c r="K124" s="294"/>
      <c r="L124" s="294"/>
      <c r="M124" s="294"/>
      <c r="N124" s="294"/>
      <c r="O124" s="294"/>
      <c r="P124" s="294"/>
      <c r="Q124" s="294"/>
      <c r="R124" s="294"/>
      <c r="S124" s="294"/>
      <c r="T124" s="294"/>
      <c r="U124" s="294"/>
      <c r="V124" s="294"/>
      <c r="W124" s="294"/>
      <c r="X124" s="294"/>
      <c r="Y124" s="294"/>
      <c r="Z124" s="294"/>
      <c r="AA124" s="294"/>
      <c r="AB124" s="294"/>
      <c r="AC124" s="294"/>
      <c r="AD124" s="294"/>
      <c r="AE124" s="294"/>
      <c r="AF124" s="294"/>
      <c r="AG124" s="294"/>
      <c r="AH124" s="294"/>
      <c r="AI124" s="294"/>
      <c r="AJ124" s="294"/>
      <c r="AK124" s="294"/>
      <c r="AL124" s="294"/>
      <c r="AM124" s="294"/>
      <c r="AN124" s="294"/>
      <c r="AO124" s="294"/>
    </row>
    <row r="125" spans="1:41" s="2" customFormat="1" ht="13.5" customHeight="1">
      <c r="A125" s="294"/>
      <c r="B125" s="294"/>
      <c r="C125" s="294"/>
      <c r="D125" s="294"/>
      <c r="E125" s="294"/>
      <c r="F125" s="294"/>
      <c r="G125" s="294"/>
      <c r="H125" s="294"/>
      <c r="I125" s="294"/>
      <c r="J125" s="294"/>
      <c r="K125" s="294"/>
      <c r="L125" s="294"/>
      <c r="M125" s="294"/>
      <c r="N125" s="294"/>
      <c r="O125" s="294"/>
      <c r="P125" s="294"/>
      <c r="Q125" s="294"/>
      <c r="R125" s="294"/>
      <c r="S125" s="294"/>
      <c r="T125" s="294"/>
      <c r="U125" s="294"/>
      <c r="V125" s="294"/>
      <c r="W125" s="294"/>
      <c r="X125" s="294"/>
      <c r="Y125" s="294"/>
      <c r="Z125" s="294"/>
      <c r="AA125" s="294"/>
      <c r="AB125" s="294"/>
      <c r="AC125" s="294"/>
      <c r="AD125" s="294"/>
      <c r="AE125" s="294"/>
      <c r="AF125" s="294"/>
      <c r="AG125" s="294"/>
      <c r="AH125" s="294"/>
      <c r="AI125" s="294"/>
      <c r="AJ125" s="294"/>
      <c r="AK125" s="294"/>
      <c r="AL125" s="294"/>
      <c r="AM125" s="294"/>
      <c r="AN125" s="294"/>
      <c r="AO125" s="294"/>
    </row>
    <row r="126" spans="1:41" s="2" customFormat="1" ht="13.5" customHeight="1">
      <c r="A126" s="294"/>
      <c r="B126" s="294"/>
      <c r="C126" s="294"/>
      <c r="D126" s="294"/>
      <c r="E126" s="294"/>
      <c r="F126" s="294"/>
      <c r="G126" s="294"/>
      <c r="H126" s="294"/>
      <c r="I126" s="294"/>
      <c r="J126" s="294"/>
      <c r="K126" s="294"/>
      <c r="L126" s="294"/>
      <c r="M126" s="294"/>
      <c r="N126" s="294"/>
      <c r="O126" s="294"/>
      <c r="P126" s="294"/>
      <c r="Q126" s="294"/>
      <c r="R126" s="294"/>
      <c r="S126" s="294"/>
      <c r="T126" s="294"/>
      <c r="U126" s="294"/>
      <c r="V126" s="294"/>
      <c r="W126" s="294"/>
      <c r="X126" s="294"/>
      <c r="Y126" s="294"/>
      <c r="Z126" s="294"/>
      <c r="AA126" s="294"/>
      <c r="AB126" s="294"/>
      <c r="AC126" s="294"/>
      <c r="AD126" s="294"/>
      <c r="AE126" s="294"/>
      <c r="AF126" s="294"/>
      <c r="AG126" s="294"/>
      <c r="AH126" s="294"/>
      <c r="AI126" s="294"/>
      <c r="AJ126" s="294"/>
      <c r="AK126" s="294"/>
      <c r="AL126" s="294"/>
      <c r="AM126" s="294"/>
      <c r="AN126" s="294"/>
      <c r="AO126" s="294"/>
    </row>
    <row r="127" spans="1:41" s="2" customFormat="1" ht="13.5" customHeight="1">
      <c r="A127" s="294"/>
      <c r="B127" s="294"/>
      <c r="C127" s="294"/>
      <c r="D127" s="294"/>
      <c r="E127" s="294"/>
      <c r="F127" s="294"/>
      <c r="G127" s="294"/>
      <c r="H127" s="294"/>
      <c r="I127" s="294"/>
      <c r="J127" s="294"/>
      <c r="K127" s="294"/>
      <c r="L127" s="294"/>
      <c r="M127" s="294"/>
      <c r="N127" s="294"/>
      <c r="O127" s="294"/>
      <c r="P127" s="294"/>
      <c r="Q127" s="294"/>
      <c r="R127" s="294"/>
      <c r="S127" s="294"/>
      <c r="T127" s="294"/>
      <c r="U127" s="294"/>
      <c r="V127" s="294"/>
      <c r="W127" s="294"/>
      <c r="X127" s="294"/>
      <c r="Y127" s="294"/>
      <c r="Z127" s="294"/>
      <c r="AA127" s="294"/>
      <c r="AB127" s="294"/>
      <c r="AC127" s="294"/>
      <c r="AD127" s="294"/>
      <c r="AE127" s="294"/>
      <c r="AF127" s="294"/>
      <c r="AG127" s="294"/>
      <c r="AH127" s="294"/>
      <c r="AI127" s="294"/>
      <c r="AJ127" s="294"/>
      <c r="AK127" s="294"/>
      <c r="AL127" s="294"/>
      <c r="AM127" s="294"/>
      <c r="AN127" s="294"/>
      <c r="AO127" s="294"/>
    </row>
    <row r="128" spans="1:41" s="2" customFormat="1" ht="13.5" customHeight="1">
      <c r="A128" s="294"/>
      <c r="B128" s="294"/>
      <c r="C128" s="294"/>
      <c r="D128" s="294"/>
      <c r="E128" s="294"/>
      <c r="F128" s="294"/>
      <c r="G128" s="294"/>
      <c r="H128" s="294"/>
      <c r="I128" s="294"/>
      <c r="J128" s="294"/>
      <c r="K128" s="294"/>
      <c r="L128" s="294"/>
      <c r="M128" s="294"/>
      <c r="N128" s="294"/>
      <c r="O128" s="294"/>
      <c r="P128" s="294"/>
      <c r="Q128" s="294"/>
      <c r="R128" s="294"/>
      <c r="S128" s="294"/>
      <c r="T128" s="294"/>
      <c r="U128" s="294"/>
      <c r="V128" s="294"/>
      <c r="W128" s="294"/>
      <c r="X128" s="294"/>
      <c r="Y128" s="246"/>
      <c r="Z128" s="246"/>
      <c r="AA128" s="294"/>
      <c r="AB128" s="294"/>
      <c r="AC128" s="294"/>
      <c r="AD128" s="294"/>
      <c r="AE128" s="294"/>
      <c r="AF128" s="294"/>
      <c r="AG128" s="294"/>
      <c r="AH128" s="294"/>
      <c r="AI128" s="294"/>
      <c r="AJ128" s="294"/>
      <c r="AK128" s="294"/>
      <c r="AL128" s="294"/>
      <c r="AM128" s="294"/>
      <c r="AN128" s="294"/>
      <c r="AO128" s="294"/>
    </row>
    <row r="129" spans="1:41" s="2" customFormat="1" ht="13.5" customHeight="1">
      <c r="A129" s="294"/>
      <c r="B129" s="294"/>
      <c r="C129" s="294"/>
      <c r="D129" s="294"/>
      <c r="E129" s="294"/>
      <c r="F129" s="294"/>
      <c r="G129" s="294"/>
      <c r="H129" s="294"/>
      <c r="I129" s="294"/>
      <c r="J129" s="294"/>
      <c r="K129" s="294"/>
      <c r="L129" s="294"/>
      <c r="M129" s="294"/>
      <c r="N129" s="294"/>
      <c r="O129" s="294"/>
      <c r="P129" s="294"/>
      <c r="Q129" s="294"/>
      <c r="R129" s="294"/>
      <c r="S129" s="294"/>
      <c r="T129" s="294"/>
      <c r="U129" s="294"/>
      <c r="V129" s="294"/>
      <c r="W129" s="294"/>
      <c r="X129" s="294"/>
      <c r="Y129" s="294"/>
      <c r="Z129" s="294"/>
      <c r="AA129" s="294"/>
      <c r="AB129" s="294"/>
      <c r="AC129" s="294"/>
      <c r="AD129" s="294"/>
      <c r="AE129" s="294"/>
      <c r="AF129" s="294"/>
      <c r="AG129" s="294"/>
      <c r="AH129" s="294"/>
      <c r="AI129" s="294"/>
      <c r="AJ129" s="294"/>
      <c r="AK129" s="294"/>
      <c r="AL129" s="294"/>
      <c r="AM129" s="294"/>
      <c r="AN129" s="294"/>
      <c r="AO129" s="294"/>
    </row>
    <row r="130" spans="1:41" s="2" customFormat="1" ht="13.5" customHeight="1">
      <c r="A130" s="294"/>
      <c r="B130" s="294"/>
      <c r="C130" s="294"/>
      <c r="D130" s="294"/>
      <c r="E130" s="294"/>
      <c r="F130" s="294"/>
      <c r="G130" s="294"/>
      <c r="H130" s="294"/>
      <c r="I130" s="294"/>
      <c r="J130" s="294"/>
      <c r="K130" s="294"/>
      <c r="L130" s="294"/>
      <c r="M130" s="294"/>
      <c r="N130" s="294"/>
      <c r="O130" s="294"/>
      <c r="P130" s="294"/>
      <c r="Q130" s="294"/>
      <c r="R130" s="294"/>
      <c r="S130" s="294"/>
      <c r="T130" s="294"/>
      <c r="U130" s="294"/>
      <c r="V130" s="294"/>
      <c r="W130" s="294"/>
      <c r="X130" s="294"/>
      <c r="Y130" s="294"/>
      <c r="Z130" s="294"/>
      <c r="AA130" s="246"/>
      <c r="AB130" s="246"/>
      <c r="AC130" s="246"/>
      <c r="AD130" s="246"/>
      <c r="AE130" s="246"/>
      <c r="AF130" s="246"/>
      <c r="AG130" s="246"/>
      <c r="AH130" s="246"/>
      <c r="AI130" s="294"/>
      <c r="AJ130" s="294"/>
      <c r="AK130" s="294"/>
      <c r="AL130" s="294"/>
      <c r="AM130" s="294"/>
      <c r="AN130" s="294"/>
      <c r="AO130" s="294"/>
    </row>
    <row r="131" spans="1:42" s="2" customFormat="1" ht="13.5" customHeight="1">
      <c r="A131" s="294"/>
      <c r="B131" s="294"/>
      <c r="C131" s="294"/>
      <c r="D131" s="294"/>
      <c r="E131" s="294"/>
      <c r="F131" s="294"/>
      <c r="G131" s="294"/>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46"/>
      <c r="AJ131" s="246"/>
      <c r="AK131" s="246"/>
      <c r="AL131" s="246"/>
      <c r="AM131" s="246"/>
      <c r="AN131" s="246"/>
      <c r="AO131" s="246"/>
      <c r="AP131"/>
    </row>
    <row r="132" spans="1:41" s="2" customFormat="1" ht="13.5" customHeight="1">
      <c r="A132" s="294"/>
      <c r="B132" s="294"/>
      <c r="C132" s="294"/>
      <c r="D132" s="294"/>
      <c r="E132" s="294"/>
      <c r="F132" s="294"/>
      <c r="G132" s="294"/>
      <c r="H132" s="294"/>
      <c r="I132" s="294"/>
      <c r="J132" s="294"/>
      <c r="K132" s="294"/>
      <c r="L132" s="294"/>
      <c r="M132" s="294"/>
      <c r="N132" s="294"/>
      <c r="O132" s="294"/>
      <c r="P132" s="294"/>
      <c r="Q132" s="294"/>
      <c r="R132" s="294"/>
      <c r="S132" s="294"/>
      <c r="T132" s="294"/>
      <c r="U132" s="294"/>
      <c r="V132" s="294"/>
      <c r="W132" s="294"/>
      <c r="X132" s="294"/>
      <c r="Y132" s="294"/>
      <c r="Z132" s="294"/>
      <c r="AA132" s="294"/>
      <c r="AB132" s="294"/>
      <c r="AC132" s="294"/>
      <c r="AD132" s="294"/>
      <c r="AE132" s="294"/>
      <c r="AF132" s="294"/>
      <c r="AG132" s="294"/>
      <c r="AH132" s="294"/>
      <c r="AI132" s="294"/>
      <c r="AJ132" s="294"/>
      <c r="AK132" s="294"/>
      <c r="AL132" s="294"/>
      <c r="AM132" s="294"/>
      <c r="AN132" s="294"/>
      <c r="AO132" s="294"/>
    </row>
    <row r="133" spans="1:41" s="2" customFormat="1" ht="13.5" customHeight="1">
      <c r="A133" s="294"/>
      <c r="B133" s="294"/>
      <c r="C133" s="294"/>
      <c r="D133" s="294"/>
      <c r="E133" s="294"/>
      <c r="F133" s="294"/>
      <c r="G133" s="294"/>
      <c r="H133" s="294"/>
      <c r="I133" s="294"/>
      <c r="J133" s="294"/>
      <c r="K133" s="294"/>
      <c r="L133" s="294"/>
      <c r="M133" s="294"/>
      <c r="N133" s="294"/>
      <c r="O133" s="294"/>
      <c r="P133" s="294"/>
      <c r="Q133" s="294"/>
      <c r="R133" s="294"/>
      <c r="S133" s="294"/>
      <c r="T133" s="294"/>
      <c r="U133" s="294"/>
      <c r="V133" s="294"/>
      <c r="W133" s="294"/>
      <c r="X133" s="294"/>
      <c r="Y133" s="294"/>
      <c r="Z133" s="294"/>
      <c r="AA133" s="294"/>
      <c r="AB133" s="294"/>
      <c r="AC133" s="294"/>
      <c r="AD133" s="294"/>
      <c r="AE133" s="294"/>
      <c r="AF133" s="294"/>
      <c r="AG133" s="294"/>
      <c r="AH133" s="294"/>
      <c r="AI133" s="294"/>
      <c r="AJ133" s="294"/>
      <c r="AK133" s="294"/>
      <c r="AL133" s="294"/>
      <c r="AM133" s="294"/>
      <c r="AN133" s="294"/>
      <c r="AO133" s="294"/>
    </row>
    <row r="134" spans="1:47" s="2" customFormat="1" ht="13.5" customHeight="1">
      <c r="A134" s="294"/>
      <c r="B134" s="294"/>
      <c r="C134" s="294"/>
      <c r="D134" s="294"/>
      <c r="E134" s="294"/>
      <c r="F134" s="294"/>
      <c r="G134" s="294"/>
      <c r="H134" s="294"/>
      <c r="I134" s="294"/>
      <c r="J134" s="294"/>
      <c r="K134" s="294"/>
      <c r="L134" s="294"/>
      <c r="M134" s="294"/>
      <c r="N134" s="294"/>
      <c r="O134" s="294"/>
      <c r="P134" s="294"/>
      <c r="Q134" s="294"/>
      <c r="R134" s="294"/>
      <c r="S134" s="294"/>
      <c r="T134" s="294"/>
      <c r="U134" s="294"/>
      <c r="V134" s="294"/>
      <c r="W134" s="294"/>
      <c r="X134" s="294"/>
      <c r="Y134" s="294"/>
      <c r="Z134" s="294"/>
      <c r="AA134" s="294"/>
      <c r="AB134" s="294"/>
      <c r="AC134" s="294"/>
      <c r="AD134" s="294"/>
      <c r="AE134" s="294"/>
      <c r="AF134" s="294"/>
      <c r="AG134" s="294"/>
      <c r="AH134" s="294"/>
      <c r="AI134" s="294"/>
      <c r="AJ134" s="294"/>
      <c r="AK134" s="294"/>
      <c r="AL134" s="294"/>
      <c r="AM134" s="294"/>
      <c r="AN134" s="294"/>
      <c r="AO134" s="294"/>
      <c r="AU134" s="329"/>
    </row>
    <row r="135" spans="1:53" ht="13.5">
      <c r="A135" s="246"/>
      <c r="B135" s="246"/>
      <c r="C135" s="246"/>
      <c r="D135" s="294"/>
      <c r="E135" s="294"/>
      <c r="F135" s="294"/>
      <c r="G135" s="294"/>
      <c r="H135" s="294"/>
      <c r="I135" s="294"/>
      <c r="J135" s="294"/>
      <c r="K135" s="294"/>
      <c r="L135" s="294"/>
      <c r="M135" s="294"/>
      <c r="N135" s="294"/>
      <c r="O135" s="294"/>
      <c r="P135" s="294"/>
      <c r="Q135" s="294"/>
      <c r="R135" s="294"/>
      <c r="S135" s="294"/>
      <c r="T135" s="294"/>
      <c r="U135" s="294"/>
      <c r="V135" s="294"/>
      <c r="W135" s="294"/>
      <c r="X135" s="294"/>
      <c r="Y135" s="294"/>
      <c r="Z135" s="294"/>
      <c r="AA135" s="294"/>
      <c r="AB135" s="294"/>
      <c r="AC135" s="294"/>
      <c r="AD135" s="294"/>
      <c r="AE135" s="294"/>
      <c r="AF135" s="294"/>
      <c r="AG135" s="294"/>
      <c r="AH135" s="294"/>
      <c r="AI135" s="294"/>
      <c r="AJ135" s="294"/>
      <c r="AK135" s="294"/>
      <c r="AL135" s="294"/>
      <c r="AM135" s="294"/>
      <c r="AN135" s="294"/>
      <c r="AO135" s="294"/>
      <c r="AP135" s="2"/>
      <c r="AQ135" s="2"/>
      <c r="AR135" s="2"/>
      <c r="AS135" s="2"/>
      <c r="AT135" s="2"/>
      <c r="AU135" s="329"/>
      <c r="AV135" s="2"/>
      <c r="AW135" s="2"/>
      <c r="AX135" s="2"/>
      <c r="AY135" s="2"/>
      <c r="AZ135" s="2"/>
      <c r="BA135" s="2"/>
    </row>
    <row r="136" spans="1:53" ht="13.5">
      <c r="A136" s="246"/>
      <c r="B136" s="246"/>
      <c r="C136" s="246"/>
      <c r="D136" s="294"/>
      <c r="E136" s="294"/>
      <c r="F136" s="294"/>
      <c r="G136" s="294"/>
      <c r="H136" s="294"/>
      <c r="I136" s="294"/>
      <c r="J136" s="294"/>
      <c r="K136" s="294"/>
      <c r="L136" s="294"/>
      <c r="M136" s="294"/>
      <c r="N136" s="294"/>
      <c r="O136" s="294"/>
      <c r="P136" s="294"/>
      <c r="Q136" s="294"/>
      <c r="R136" s="294"/>
      <c r="S136" s="294"/>
      <c r="T136" s="294"/>
      <c r="U136" s="294"/>
      <c r="V136" s="294"/>
      <c r="W136" s="294"/>
      <c r="X136" s="294"/>
      <c r="Y136" s="246"/>
      <c r="Z136" s="246"/>
      <c r="AA136" s="294"/>
      <c r="AB136" s="294"/>
      <c r="AC136" s="294"/>
      <c r="AD136" s="294"/>
      <c r="AE136" s="294"/>
      <c r="AF136" s="294"/>
      <c r="AG136" s="294"/>
      <c r="AH136" s="294"/>
      <c r="AI136" s="294"/>
      <c r="AJ136" s="294"/>
      <c r="AK136" s="294"/>
      <c r="AL136" s="294"/>
      <c r="AM136" s="294"/>
      <c r="AN136" s="294"/>
      <c r="AO136" s="294"/>
      <c r="AP136" s="2"/>
      <c r="AQ136" s="2"/>
      <c r="AR136" s="2"/>
      <c r="AS136" s="2"/>
      <c r="AT136" s="2"/>
      <c r="AU136" s="2"/>
      <c r="AV136" s="2"/>
      <c r="AW136" s="2"/>
      <c r="AX136" s="2"/>
      <c r="AY136" s="2"/>
      <c r="AZ136" s="2"/>
      <c r="BA136" s="2"/>
    </row>
    <row r="137" spans="1:53" ht="13.5">
      <c r="A137" s="246"/>
      <c r="B137" s="246"/>
      <c r="C137" s="246"/>
      <c r="D137" s="294"/>
      <c r="E137" s="294"/>
      <c r="F137" s="294"/>
      <c r="G137" s="294"/>
      <c r="H137" s="294"/>
      <c r="I137" s="294"/>
      <c r="J137" s="294"/>
      <c r="K137" s="294"/>
      <c r="L137" s="294"/>
      <c r="M137" s="294"/>
      <c r="N137" s="294"/>
      <c r="O137" s="294"/>
      <c r="P137" s="294"/>
      <c r="Q137" s="294"/>
      <c r="R137" s="294"/>
      <c r="S137" s="294"/>
      <c r="T137" s="294"/>
      <c r="U137" s="294"/>
      <c r="V137" s="294"/>
      <c r="W137" s="294"/>
      <c r="X137" s="294"/>
      <c r="Y137" s="246"/>
      <c r="Z137" s="246"/>
      <c r="AA137" s="294"/>
      <c r="AB137" s="294"/>
      <c r="AC137" s="294"/>
      <c r="AD137" s="294"/>
      <c r="AE137" s="294"/>
      <c r="AF137" s="294"/>
      <c r="AG137" s="294"/>
      <c r="AH137" s="294"/>
      <c r="AI137" s="294"/>
      <c r="AJ137" s="294"/>
      <c r="AK137" s="294"/>
      <c r="AL137" s="294"/>
      <c r="AM137" s="294"/>
      <c r="AN137" s="294"/>
      <c r="AO137" s="294"/>
      <c r="AP137" s="2"/>
      <c r="AQ137" s="2"/>
      <c r="AR137" s="2"/>
      <c r="AS137" s="2"/>
      <c r="AT137" s="2"/>
      <c r="AU137" s="2"/>
      <c r="AV137" s="2"/>
      <c r="AW137" s="2"/>
      <c r="AX137" s="2"/>
      <c r="AY137" s="2"/>
      <c r="AZ137" s="2"/>
      <c r="BA137" s="2"/>
    </row>
    <row r="138" spans="1:52" ht="13.5">
      <c r="A138" s="246"/>
      <c r="B138" s="246"/>
      <c r="C138" s="246"/>
      <c r="D138" s="294"/>
      <c r="E138" s="294"/>
      <c r="F138" s="294"/>
      <c r="G138" s="294"/>
      <c r="H138" s="294"/>
      <c r="I138" s="294"/>
      <c r="J138" s="294"/>
      <c r="K138" s="294"/>
      <c r="L138" s="294"/>
      <c r="M138" s="294"/>
      <c r="N138" s="294"/>
      <c r="O138" s="294"/>
      <c r="P138" s="294"/>
      <c r="Q138" s="294"/>
      <c r="R138" s="294"/>
      <c r="S138" s="294"/>
      <c r="T138" s="294"/>
      <c r="U138" s="294"/>
      <c r="V138" s="294"/>
      <c r="W138" s="294"/>
      <c r="X138" s="294"/>
      <c r="Y138" s="246"/>
      <c r="Z138" s="246"/>
      <c r="AA138" s="246"/>
      <c r="AB138" s="246"/>
      <c r="AC138" s="246"/>
      <c r="AD138" s="246"/>
      <c r="AE138" s="246"/>
      <c r="AF138" s="246"/>
      <c r="AG138" s="246"/>
      <c r="AH138" s="246"/>
      <c r="AI138" s="294"/>
      <c r="AJ138" s="294"/>
      <c r="AK138" s="294"/>
      <c r="AL138" s="294"/>
      <c r="AM138" s="294"/>
      <c r="AN138" s="294"/>
      <c r="AO138" s="294"/>
      <c r="AP138" s="2"/>
      <c r="AQ138" s="2"/>
      <c r="AR138" s="2"/>
      <c r="AS138" s="2"/>
      <c r="AT138" s="2"/>
      <c r="AU138" s="2"/>
      <c r="AV138" s="2"/>
      <c r="AW138" s="2"/>
      <c r="AX138" s="2"/>
      <c r="AY138" s="2"/>
      <c r="AZ138" s="2"/>
    </row>
    <row r="139" spans="1:52" ht="13.5">
      <c r="A139" s="246"/>
      <c r="B139" s="246"/>
      <c r="C139" s="246"/>
      <c r="D139" s="294"/>
      <c r="E139" s="294"/>
      <c r="F139" s="294"/>
      <c r="G139" s="294"/>
      <c r="H139" s="294"/>
      <c r="I139" s="294"/>
      <c r="J139" s="294"/>
      <c r="K139" s="294"/>
      <c r="L139" s="294"/>
      <c r="M139" s="294"/>
      <c r="N139" s="294"/>
      <c r="O139" s="294"/>
      <c r="P139" s="294"/>
      <c r="Q139" s="294"/>
      <c r="R139" s="294"/>
      <c r="S139" s="294"/>
      <c r="T139" s="294"/>
      <c r="U139" s="294"/>
      <c r="V139" s="294"/>
      <c r="W139" s="294"/>
      <c r="X139" s="294"/>
      <c r="Y139" s="246"/>
      <c r="Z139" s="246"/>
      <c r="AA139" s="246"/>
      <c r="AB139" s="246"/>
      <c r="AC139" s="246"/>
      <c r="AD139" s="246"/>
      <c r="AE139" s="246"/>
      <c r="AF139" s="246"/>
      <c r="AG139" s="246"/>
      <c r="AH139" s="246"/>
      <c r="AI139" s="246"/>
      <c r="AJ139" s="246"/>
      <c r="AK139" s="246"/>
      <c r="AL139" s="246"/>
      <c r="AM139" s="246"/>
      <c r="AN139" s="246"/>
      <c r="AO139" s="246"/>
      <c r="AT139" s="2"/>
      <c r="AU139" s="2"/>
      <c r="AV139" s="2"/>
      <c r="AW139" s="2"/>
      <c r="AX139" s="2"/>
      <c r="AY139" s="2"/>
      <c r="AZ139" s="2"/>
    </row>
    <row r="140" spans="1:52" ht="13.5">
      <c r="A140" s="246"/>
      <c r="B140" s="246"/>
      <c r="C140" s="246"/>
      <c r="D140" s="294"/>
      <c r="E140" s="294"/>
      <c r="F140" s="294"/>
      <c r="G140" s="294"/>
      <c r="H140" s="294"/>
      <c r="I140" s="294"/>
      <c r="J140" s="294"/>
      <c r="K140" s="294"/>
      <c r="L140" s="294"/>
      <c r="M140" s="294"/>
      <c r="N140" s="294"/>
      <c r="O140" s="294"/>
      <c r="P140" s="294"/>
      <c r="Q140" s="294"/>
      <c r="R140" s="294"/>
      <c r="S140" s="294"/>
      <c r="T140" s="294"/>
      <c r="U140" s="294"/>
      <c r="V140" s="294"/>
      <c r="W140" s="294"/>
      <c r="X140" s="294"/>
      <c r="Y140" s="246"/>
      <c r="Z140" s="246"/>
      <c r="AA140" s="246"/>
      <c r="AB140" s="246"/>
      <c r="AC140" s="246"/>
      <c r="AD140" s="246"/>
      <c r="AE140" s="246"/>
      <c r="AF140" s="246"/>
      <c r="AG140" s="246"/>
      <c r="AH140" s="246"/>
      <c r="AI140" s="246"/>
      <c r="AJ140" s="246"/>
      <c r="AK140" s="246"/>
      <c r="AL140" s="246"/>
      <c r="AM140" s="246"/>
      <c r="AN140" s="246"/>
      <c r="AO140" s="246"/>
      <c r="AT140" s="2"/>
      <c r="AU140" s="2"/>
      <c r="AV140" s="2"/>
      <c r="AW140" s="2"/>
      <c r="AX140" s="2"/>
      <c r="AY140" s="2"/>
      <c r="AZ140" s="2"/>
    </row>
    <row r="141" spans="1:51" ht="13.5">
      <c r="A141" s="246"/>
      <c r="B141" s="246"/>
      <c r="C141" s="246"/>
      <c r="D141" s="294"/>
      <c r="E141" s="294"/>
      <c r="F141" s="294"/>
      <c r="G141" s="294"/>
      <c r="H141" s="294"/>
      <c r="I141" s="294"/>
      <c r="J141" s="294"/>
      <c r="K141" s="294"/>
      <c r="L141" s="294"/>
      <c r="M141" s="294"/>
      <c r="N141" s="294"/>
      <c r="O141" s="294"/>
      <c r="P141" s="294"/>
      <c r="Q141" s="294"/>
      <c r="R141" s="294"/>
      <c r="S141" s="294"/>
      <c r="T141" s="294"/>
      <c r="U141" s="294"/>
      <c r="V141" s="294"/>
      <c r="W141" s="294"/>
      <c r="X141" s="294"/>
      <c r="Y141" s="246"/>
      <c r="Z141" s="246"/>
      <c r="AA141" s="246"/>
      <c r="AB141" s="246"/>
      <c r="AC141" s="246"/>
      <c r="AD141" s="246"/>
      <c r="AE141" s="246"/>
      <c r="AF141" s="246"/>
      <c r="AG141" s="246"/>
      <c r="AH141" s="246"/>
      <c r="AI141" s="246"/>
      <c r="AJ141" s="246"/>
      <c r="AK141" s="246"/>
      <c r="AL141" s="246"/>
      <c r="AM141" s="246"/>
      <c r="AN141" s="246"/>
      <c r="AO141" s="246"/>
      <c r="AT141" s="2"/>
      <c r="AU141" s="2"/>
      <c r="AV141" s="2"/>
      <c r="AW141" s="2"/>
      <c r="AX141" s="2"/>
      <c r="AY141" s="2"/>
    </row>
    <row r="142" spans="1:51" ht="13.5">
      <c r="A142" s="246"/>
      <c r="B142" s="246"/>
      <c r="C142" s="246"/>
      <c r="D142" s="294"/>
      <c r="E142" s="294"/>
      <c r="F142" s="294"/>
      <c r="G142" s="294"/>
      <c r="H142" s="294"/>
      <c r="I142" s="294"/>
      <c r="J142" s="294"/>
      <c r="K142" s="294"/>
      <c r="L142" s="294"/>
      <c r="M142" s="294"/>
      <c r="N142" s="294"/>
      <c r="O142" s="294"/>
      <c r="P142" s="294"/>
      <c r="Q142" s="294"/>
      <c r="R142" s="294"/>
      <c r="S142" s="294"/>
      <c r="T142" s="294"/>
      <c r="U142" s="294"/>
      <c r="V142" s="294"/>
      <c r="W142" s="294"/>
      <c r="X142" s="294"/>
      <c r="Y142" s="246"/>
      <c r="Z142" s="246"/>
      <c r="AA142" s="246"/>
      <c r="AB142" s="246"/>
      <c r="AC142" s="246"/>
      <c r="AD142" s="246"/>
      <c r="AE142" s="246"/>
      <c r="AF142" s="246"/>
      <c r="AG142" s="246"/>
      <c r="AH142" s="246"/>
      <c r="AI142" s="246"/>
      <c r="AJ142" s="246"/>
      <c r="AK142" s="246"/>
      <c r="AL142" s="246"/>
      <c r="AM142" s="246"/>
      <c r="AN142" s="246"/>
      <c r="AO142" s="246"/>
      <c r="AT142" s="2"/>
      <c r="AU142" s="2"/>
      <c r="AV142" s="2"/>
      <c r="AW142" s="2"/>
      <c r="AX142" s="2"/>
      <c r="AY142" s="2"/>
    </row>
    <row r="143" spans="1:52" ht="13.5">
      <c r="A143" s="246"/>
      <c r="B143" s="246"/>
      <c r="C143" s="246"/>
      <c r="D143" s="294"/>
      <c r="E143" s="294"/>
      <c r="F143" s="294"/>
      <c r="G143" s="294"/>
      <c r="H143" s="294"/>
      <c r="I143" s="294"/>
      <c r="J143" s="294"/>
      <c r="K143" s="294"/>
      <c r="L143" s="294"/>
      <c r="M143" s="294"/>
      <c r="N143" s="294"/>
      <c r="O143" s="294"/>
      <c r="P143" s="294"/>
      <c r="Q143" s="294"/>
      <c r="R143" s="294"/>
      <c r="S143" s="294"/>
      <c r="T143" s="294"/>
      <c r="U143" s="294"/>
      <c r="V143" s="294"/>
      <c r="W143" s="294"/>
      <c r="X143" s="294"/>
      <c r="Y143" s="246"/>
      <c r="Z143" s="246"/>
      <c r="AA143" s="246"/>
      <c r="AB143" s="246"/>
      <c r="AC143" s="246"/>
      <c r="AD143" s="246"/>
      <c r="AE143" s="246"/>
      <c r="AF143" s="246"/>
      <c r="AG143" s="246"/>
      <c r="AH143" s="246"/>
      <c r="AI143" s="246"/>
      <c r="AJ143" s="246"/>
      <c r="AK143" s="246"/>
      <c r="AL143" s="246"/>
      <c r="AM143" s="246"/>
      <c r="AN143" s="246"/>
      <c r="AO143" s="246"/>
      <c r="AT143" s="2"/>
      <c r="AU143" s="2"/>
      <c r="AV143" s="2"/>
      <c r="AW143" s="2"/>
      <c r="AX143" s="2"/>
      <c r="AY143" s="2"/>
      <c r="AZ143" s="2"/>
    </row>
    <row r="144" spans="1:41" ht="13.5">
      <c r="A144" s="246"/>
      <c r="B144" s="246"/>
      <c r="C144" s="246"/>
      <c r="D144" s="294"/>
      <c r="E144" s="294"/>
      <c r="F144" s="294"/>
      <c r="G144" s="294"/>
      <c r="H144" s="294"/>
      <c r="I144" s="294"/>
      <c r="J144" s="294"/>
      <c r="K144" s="294"/>
      <c r="L144" s="294"/>
      <c r="M144" s="294"/>
      <c r="N144" s="294"/>
      <c r="O144" s="294"/>
      <c r="P144" s="294"/>
      <c r="Q144" s="294"/>
      <c r="R144" s="294"/>
      <c r="S144" s="294"/>
      <c r="T144" s="294"/>
      <c r="U144" s="294"/>
      <c r="V144" s="294"/>
      <c r="W144" s="294"/>
      <c r="X144" s="294"/>
      <c r="Y144" s="246"/>
      <c r="Z144" s="246"/>
      <c r="AA144" s="246"/>
      <c r="AB144" s="246"/>
      <c r="AC144" s="246"/>
      <c r="AD144" s="246"/>
      <c r="AE144" s="246"/>
      <c r="AF144" s="246"/>
      <c r="AG144" s="246"/>
      <c r="AH144" s="246"/>
      <c r="AI144" s="246"/>
      <c r="AJ144" s="246"/>
      <c r="AK144" s="246"/>
      <c r="AL144" s="246"/>
      <c r="AM144" s="246"/>
      <c r="AN144" s="246"/>
      <c r="AO144" s="246"/>
    </row>
    <row r="145" spans="1:41" ht="13.5">
      <c r="A145" s="246"/>
      <c r="B145" s="246"/>
      <c r="C145" s="246"/>
      <c r="D145" s="294"/>
      <c r="E145" s="294"/>
      <c r="F145" s="294"/>
      <c r="G145" s="294"/>
      <c r="H145" s="294"/>
      <c r="I145" s="294"/>
      <c r="J145" s="294"/>
      <c r="K145" s="294"/>
      <c r="L145" s="294"/>
      <c r="M145" s="294"/>
      <c r="N145" s="294"/>
      <c r="O145" s="294"/>
      <c r="P145" s="294"/>
      <c r="Q145" s="294"/>
      <c r="R145" s="294"/>
      <c r="S145" s="294"/>
      <c r="T145" s="294"/>
      <c r="U145" s="294"/>
      <c r="V145" s="294"/>
      <c r="W145" s="294"/>
      <c r="X145" s="246"/>
      <c r="Y145" s="294"/>
      <c r="Z145" s="294"/>
      <c r="AA145" s="246"/>
      <c r="AB145" s="246"/>
      <c r="AC145" s="246"/>
      <c r="AD145" s="246"/>
      <c r="AE145" s="246"/>
      <c r="AF145" s="246"/>
      <c r="AG145" s="246"/>
      <c r="AH145" s="246"/>
      <c r="AI145" s="246"/>
      <c r="AJ145" s="246"/>
      <c r="AK145" s="246"/>
      <c r="AL145" s="246"/>
      <c r="AM145" s="246"/>
      <c r="AN145" s="246"/>
      <c r="AO145" s="246"/>
    </row>
    <row r="146" spans="1:41" ht="13.5">
      <c r="A146" s="246"/>
      <c r="B146" s="246"/>
      <c r="C146" s="246"/>
      <c r="D146" s="294"/>
      <c r="E146" s="294"/>
      <c r="F146" s="294"/>
      <c r="G146" s="294"/>
      <c r="H146" s="294"/>
      <c r="I146" s="294"/>
      <c r="J146" s="294"/>
      <c r="K146" s="294"/>
      <c r="L146" s="294"/>
      <c r="M146" s="294"/>
      <c r="N146" s="294"/>
      <c r="O146" s="294"/>
      <c r="P146" s="294"/>
      <c r="Q146" s="294"/>
      <c r="R146" s="294"/>
      <c r="S146" s="294"/>
      <c r="T146" s="294"/>
      <c r="U146" s="294"/>
      <c r="V146" s="294"/>
      <c r="W146" s="294"/>
      <c r="X146" s="246"/>
      <c r="Y146" s="246"/>
      <c r="Z146" s="246"/>
      <c r="AA146" s="246"/>
      <c r="AB146" s="246"/>
      <c r="AC146" s="246"/>
      <c r="AD146" s="246"/>
      <c r="AE146" s="246"/>
      <c r="AF146" s="246"/>
      <c r="AG146" s="246"/>
      <c r="AH146" s="246"/>
      <c r="AI146" s="246"/>
      <c r="AJ146" s="246"/>
      <c r="AK146" s="246"/>
      <c r="AL146" s="246"/>
      <c r="AM146" s="246"/>
      <c r="AN146" s="246"/>
      <c r="AO146" s="246"/>
    </row>
    <row r="147" spans="1:41" ht="13.5">
      <c r="A147" s="246"/>
      <c r="B147" s="246"/>
      <c r="C147" s="246"/>
      <c r="D147" s="294"/>
      <c r="E147" s="294"/>
      <c r="F147" s="294"/>
      <c r="G147" s="294"/>
      <c r="H147" s="294"/>
      <c r="I147" s="294"/>
      <c r="J147" s="294"/>
      <c r="K147" s="294"/>
      <c r="L147" s="294"/>
      <c r="M147" s="294"/>
      <c r="N147" s="294"/>
      <c r="O147" s="294"/>
      <c r="P147" s="294"/>
      <c r="Q147" s="294"/>
      <c r="R147" s="294"/>
      <c r="S147" s="294"/>
      <c r="T147" s="294"/>
      <c r="U147" s="294"/>
      <c r="V147" s="294"/>
      <c r="W147" s="294"/>
      <c r="X147" s="246"/>
      <c r="Y147" s="246"/>
      <c r="Z147" s="246"/>
      <c r="AA147" s="246"/>
      <c r="AB147" s="246"/>
      <c r="AC147" s="246"/>
      <c r="AD147" s="246"/>
      <c r="AE147" s="246"/>
      <c r="AF147" s="246"/>
      <c r="AG147" s="246"/>
      <c r="AH147" s="246"/>
      <c r="AI147" s="246"/>
      <c r="AJ147" s="246"/>
      <c r="AK147" s="246"/>
      <c r="AL147" s="246"/>
      <c r="AM147" s="246"/>
      <c r="AN147" s="246"/>
      <c r="AO147" s="246"/>
    </row>
    <row r="148" spans="1:41" ht="13.5">
      <c r="A148" s="246"/>
      <c r="B148" s="246"/>
      <c r="C148" s="246"/>
      <c r="D148" s="294"/>
      <c r="E148" s="294"/>
      <c r="F148" s="294"/>
      <c r="G148" s="294"/>
      <c r="H148" s="294"/>
      <c r="I148" s="294"/>
      <c r="J148" s="294"/>
      <c r="K148" s="294"/>
      <c r="L148" s="294"/>
      <c r="M148" s="294"/>
      <c r="N148" s="294"/>
      <c r="O148" s="294"/>
      <c r="P148" s="294"/>
      <c r="Q148" s="294"/>
      <c r="R148" s="294"/>
      <c r="S148" s="294"/>
      <c r="T148" s="294"/>
      <c r="U148" s="294"/>
      <c r="V148" s="294"/>
      <c r="W148" s="294"/>
      <c r="X148" s="246"/>
      <c r="Y148" s="246"/>
      <c r="Z148" s="246"/>
      <c r="AA148" s="246"/>
      <c r="AB148" s="246"/>
      <c r="AC148" s="246"/>
      <c r="AD148" s="246"/>
      <c r="AE148" s="246"/>
      <c r="AF148" s="246"/>
      <c r="AG148" s="246"/>
      <c r="AH148" s="246"/>
      <c r="AI148" s="246"/>
      <c r="AJ148" s="246"/>
      <c r="AK148" s="246"/>
      <c r="AL148" s="246"/>
      <c r="AM148" s="246"/>
      <c r="AN148" s="246"/>
      <c r="AO148" s="246"/>
    </row>
    <row r="149" spans="1:41" ht="13.5">
      <c r="A149" s="246"/>
      <c r="B149" s="246"/>
      <c r="C149" s="246"/>
      <c r="D149" s="294"/>
      <c r="E149" s="294"/>
      <c r="F149" s="294"/>
      <c r="G149" s="294"/>
      <c r="H149" s="294"/>
      <c r="I149" s="294"/>
      <c r="J149" s="294"/>
      <c r="K149" s="294"/>
      <c r="L149" s="294"/>
      <c r="M149" s="294"/>
      <c r="N149" s="294"/>
      <c r="O149" s="294"/>
      <c r="P149" s="294"/>
      <c r="Q149" s="294"/>
      <c r="R149" s="294"/>
      <c r="S149" s="294"/>
      <c r="T149" s="294"/>
      <c r="U149" s="294"/>
      <c r="V149" s="294"/>
      <c r="W149" s="294"/>
      <c r="X149" s="246"/>
      <c r="Y149" s="246"/>
      <c r="Z149" s="246"/>
      <c r="AA149" s="294"/>
      <c r="AB149" s="294"/>
      <c r="AC149" s="294"/>
      <c r="AD149" s="294"/>
      <c r="AE149" s="294"/>
      <c r="AF149" s="294"/>
      <c r="AG149" s="294"/>
      <c r="AH149" s="294"/>
      <c r="AI149" s="246"/>
      <c r="AJ149" s="246"/>
      <c r="AK149" s="246"/>
      <c r="AL149" s="246"/>
      <c r="AM149" s="246"/>
      <c r="AN149" s="246"/>
      <c r="AO149" s="246"/>
    </row>
    <row r="150" spans="1:41" ht="13.5">
      <c r="A150" s="246"/>
      <c r="B150" s="246"/>
      <c r="C150" s="246"/>
      <c r="D150" s="294"/>
      <c r="E150" s="294"/>
      <c r="F150" s="294"/>
      <c r="G150" s="294"/>
      <c r="H150" s="294"/>
      <c r="I150" s="294"/>
      <c r="J150" s="294"/>
      <c r="K150" s="294"/>
      <c r="L150" s="294"/>
      <c r="M150" s="294"/>
      <c r="N150" s="294"/>
      <c r="O150" s="294"/>
      <c r="P150" s="294"/>
      <c r="Q150" s="294"/>
      <c r="R150" s="294"/>
      <c r="S150" s="294"/>
      <c r="T150" s="294"/>
      <c r="U150" s="294"/>
      <c r="V150" s="294"/>
      <c r="W150" s="294"/>
      <c r="X150" s="246"/>
      <c r="Y150" s="246"/>
      <c r="Z150" s="246"/>
      <c r="AA150" s="246"/>
      <c r="AB150" s="246"/>
      <c r="AC150" s="246"/>
      <c r="AD150" s="246"/>
      <c r="AE150" s="246"/>
      <c r="AF150" s="246"/>
      <c r="AG150" s="246"/>
      <c r="AH150" s="246"/>
      <c r="AI150" s="246"/>
      <c r="AJ150" s="246"/>
      <c r="AK150" s="246"/>
      <c r="AL150" s="246"/>
      <c r="AM150" s="246"/>
      <c r="AN150" s="246"/>
      <c r="AO150" s="246"/>
    </row>
    <row r="151" spans="1:41" ht="13.5">
      <c r="A151" s="246"/>
      <c r="B151" s="246"/>
      <c r="C151" s="246"/>
      <c r="D151" s="294"/>
      <c r="E151" s="294"/>
      <c r="F151" s="294"/>
      <c r="G151" s="294"/>
      <c r="H151" s="294"/>
      <c r="I151" s="294"/>
      <c r="J151" s="294"/>
      <c r="K151" s="294"/>
      <c r="L151" s="294"/>
      <c r="M151" s="294"/>
      <c r="N151" s="294"/>
      <c r="O151" s="294"/>
      <c r="P151" s="294"/>
      <c r="Q151" s="294"/>
      <c r="R151" s="294"/>
      <c r="S151" s="294"/>
      <c r="T151" s="294"/>
      <c r="U151" s="294"/>
      <c r="V151" s="294"/>
      <c r="W151" s="294"/>
      <c r="X151" s="246"/>
      <c r="Y151" s="246"/>
      <c r="Z151" s="246"/>
      <c r="AA151" s="246"/>
      <c r="AB151" s="246"/>
      <c r="AC151" s="246"/>
      <c r="AD151" s="246"/>
      <c r="AE151" s="246"/>
      <c r="AF151" s="246"/>
      <c r="AG151" s="246"/>
      <c r="AH151" s="246"/>
      <c r="AI151" s="246"/>
      <c r="AJ151" s="246"/>
      <c r="AK151" s="246"/>
      <c r="AL151" s="246"/>
      <c r="AM151" s="246"/>
      <c r="AN151" s="246"/>
      <c r="AO151" s="246"/>
    </row>
    <row r="152" spans="1:41" ht="13.5">
      <c r="A152" s="246"/>
      <c r="B152" s="246"/>
      <c r="C152" s="246"/>
      <c r="D152" s="294"/>
      <c r="E152" s="294"/>
      <c r="F152" s="294"/>
      <c r="G152" s="294"/>
      <c r="H152" s="294"/>
      <c r="I152" s="294"/>
      <c r="J152" s="294"/>
      <c r="K152" s="294"/>
      <c r="L152" s="294"/>
      <c r="M152" s="294"/>
      <c r="N152" s="294"/>
      <c r="O152" s="294"/>
      <c r="P152" s="294"/>
      <c r="Q152" s="294"/>
      <c r="R152" s="294"/>
      <c r="S152" s="294"/>
      <c r="T152" s="294"/>
      <c r="U152" s="294"/>
      <c r="V152" s="294"/>
      <c r="W152" s="294"/>
      <c r="X152" s="246"/>
      <c r="Y152" s="246"/>
      <c r="Z152" s="246"/>
      <c r="AA152" s="246"/>
      <c r="AB152" s="246"/>
      <c r="AC152" s="246"/>
      <c r="AD152" s="246"/>
      <c r="AE152" s="246"/>
      <c r="AF152" s="246"/>
      <c r="AG152" s="246"/>
      <c r="AH152" s="246"/>
      <c r="AI152" s="246"/>
      <c r="AJ152" s="246"/>
      <c r="AK152" s="246"/>
      <c r="AL152" s="246"/>
      <c r="AM152" s="246"/>
      <c r="AN152" s="246"/>
      <c r="AO152" s="246"/>
    </row>
    <row r="153" spans="1:41" ht="13.5">
      <c r="A153" s="246"/>
      <c r="B153" s="246"/>
      <c r="C153" s="246"/>
      <c r="D153" s="294"/>
      <c r="E153" s="294"/>
      <c r="F153" s="294"/>
      <c r="G153" s="294"/>
      <c r="H153" s="294"/>
      <c r="I153" s="294"/>
      <c r="J153" s="294"/>
      <c r="K153" s="294"/>
      <c r="L153" s="294"/>
      <c r="M153" s="294"/>
      <c r="N153" s="294"/>
      <c r="O153" s="294"/>
      <c r="P153" s="294"/>
      <c r="Q153" s="294"/>
      <c r="R153" s="294"/>
      <c r="S153" s="294"/>
      <c r="T153" s="294"/>
      <c r="U153" s="294"/>
      <c r="V153" s="294"/>
      <c r="W153" s="294"/>
      <c r="X153" s="246"/>
      <c r="Y153" s="246"/>
      <c r="Z153" s="246"/>
      <c r="AA153" s="246"/>
      <c r="AB153" s="246"/>
      <c r="AC153" s="246"/>
      <c r="AD153" s="246"/>
      <c r="AE153" s="246"/>
      <c r="AF153" s="246"/>
      <c r="AG153" s="246"/>
      <c r="AH153" s="246"/>
      <c r="AI153" s="246"/>
      <c r="AJ153" s="246"/>
      <c r="AK153" s="246"/>
      <c r="AL153" s="246"/>
      <c r="AM153" s="246"/>
      <c r="AN153" s="246"/>
      <c r="AO153" s="246"/>
    </row>
    <row r="154" spans="1:41" ht="13.5">
      <c r="A154" s="246"/>
      <c r="B154" s="246"/>
      <c r="C154" s="246"/>
      <c r="D154" s="294"/>
      <c r="E154" s="294"/>
      <c r="F154" s="294"/>
      <c r="G154" s="294"/>
      <c r="H154" s="294"/>
      <c r="I154" s="294"/>
      <c r="J154" s="294"/>
      <c r="K154" s="294"/>
      <c r="L154" s="294"/>
      <c r="M154" s="294"/>
      <c r="N154" s="294"/>
      <c r="O154" s="294"/>
      <c r="P154" s="294"/>
      <c r="Q154" s="294"/>
      <c r="R154" s="294"/>
      <c r="S154" s="294"/>
      <c r="T154" s="294"/>
      <c r="U154" s="294"/>
      <c r="V154" s="294"/>
      <c r="W154" s="294"/>
      <c r="X154" s="246"/>
      <c r="Y154" s="246"/>
      <c r="Z154" s="246"/>
      <c r="AA154" s="246"/>
      <c r="AB154" s="246"/>
      <c r="AC154" s="246"/>
      <c r="AD154" s="246"/>
      <c r="AE154" s="246"/>
      <c r="AF154" s="246"/>
      <c r="AG154" s="246"/>
      <c r="AH154" s="246"/>
      <c r="AI154" s="246"/>
      <c r="AJ154" s="246"/>
      <c r="AK154" s="246"/>
      <c r="AL154" s="246"/>
      <c r="AM154" s="246"/>
      <c r="AN154" s="246"/>
      <c r="AO154" s="246"/>
    </row>
    <row r="155" spans="1:41" ht="13.5">
      <c r="A155" s="246"/>
      <c r="B155" s="246"/>
      <c r="C155" s="246"/>
      <c r="D155" s="294"/>
      <c r="E155" s="294"/>
      <c r="F155" s="294"/>
      <c r="G155" s="294"/>
      <c r="H155" s="294"/>
      <c r="I155" s="294"/>
      <c r="J155" s="294"/>
      <c r="K155" s="294"/>
      <c r="L155" s="294"/>
      <c r="M155" s="294"/>
      <c r="N155" s="294"/>
      <c r="O155" s="294"/>
      <c r="P155" s="294"/>
      <c r="Q155" s="246"/>
      <c r="R155" s="246"/>
      <c r="S155" s="294"/>
      <c r="T155" s="246"/>
      <c r="U155" s="246"/>
      <c r="V155" s="246"/>
      <c r="W155" s="246"/>
      <c r="X155" s="246"/>
      <c r="Y155" s="246"/>
      <c r="Z155" s="246"/>
      <c r="AA155" s="246"/>
      <c r="AB155" s="246"/>
      <c r="AC155" s="246"/>
      <c r="AD155" s="246"/>
      <c r="AE155" s="246"/>
      <c r="AF155" s="246"/>
      <c r="AG155" s="246"/>
      <c r="AH155" s="246"/>
      <c r="AI155" s="246"/>
      <c r="AJ155" s="246"/>
      <c r="AK155" s="246"/>
      <c r="AL155" s="246"/>
      <c r="AM155" s="246"/>
      <c r="AN155" s="246"/>
      <c r="AO155" s="246"/>
    </row>
    <row r="156" spans="1:41" ht="13.5">
      <c r="A156" s="246"/>
      <c r="B156" s="246"/>
      <c r="C156" s="246"/>
      <c r="D156" s="294"/>
      <c r="E156" s="294"/>
      <c r="F156" s="294"/>
      <c r="G156" s="294"/>
      <c r="H156" s="294"/>
      <c r="I156" s="294"/>
      <c r="J156" s="294"/>
      <c r="K156" s="294"/>
      <c r="L156" s="294"/>
      <c r="M156" s="294"/>
      <c r="N156" s="294"/>
      <c r="O156" s="294"/>
      <c r="P156" s="294"/>
      <c r="Q156" s="246"/>
      <c r="R156" s="246"/>
      <c r="S156" s="294"/>
      <c r="T156" s="294"/>
      <c r="U156" s="246"/>
      <c r="V156" s="246"/>
      <c r="W156" s="246"/>
      <c r="X156" s="246"/>
      <c r="Y156" s="246"/>
      <c r="Z156" s="246"/>
      <c r="AA156" s="246"/>
      <c r="AB156" s="246"/>
      <c r="AC156" s="246"/>
      <c r="AD156" s="246"/>
      <c r="AE156" s="246"/>
      <c r="AF156" s="246"/>
      <c r="AG156" s="246"/>
      <c r="AH156" s="246"/>
      <c r="AI156" s="246"/>
      <c r="AJ156" s="246"/>
      <c r="AK156" s="246"/>
      <c r="AL156" s="246"/>
      <c r="AM156" s="246"/>
      <c r="AN156" s="246"/>
      <c r="AO156" s="246"/>
    </row>
    <row r="157" spans="1:41" ht="13.5">
      <c r="A157" s="246"/>
      <c r="B157" s="246"/>
      <c r="C157" s="246"/>
      <c r="D157" s="246"/>
      <c r="E157" s="246"/>
      <c r="F157" s="246"/>
      <c r="G157" s="246"/>
      <c r="H157" s="246"/>
      <c r="I157" s="246"/>
      <c r="J157" s="246"/>
      <c r="K157" s="246"/>
      <c r="L157" s="246"/>
      <c r="M157" s="246"/>
      <c r="N157" s="246"/>
      <c r="O157" s="246"/>
      <c r="P157" s="246"/>
      <c r="Q157" s="246"/>
      <c r="R157" s="246"/>
      <c r="S157" s="294"/>
      <c r="T157" s="294"/>
      <c r="U157" s="246"/>
      <c r="V157" s="246"/>
      <c r="W157" s="246"/>
      <c r="X157" s="246"/>
      <c r="Y157" s="246"/>
      <c r="Z157" s="246"/>
      <c r="AA157" s="246"/>
      <c r="AB157" s="246"/>
      <c r="AC157" s="246"/>
      <c r="AD157" s="246"/>
      <c r="AE157" s="246"/>
      <c r="AF157" s="246"/>
      <c r="AG157" s="246"/>
      <c r="AH157" s="246"/>
      <c r="AI157" s="246"/>
      <c r="AJ157" s="246"/>
      <c r="AK157" s="246"/>
      <c r="AL157" s="246"/>
      <c r="AM157" s="246"/>
      <c r="AN157" s="246"/>
      <c r="AO157" s="246"/>
    </row>
    <row r="158" spans="1:41" ht="13.5">
      <c r="A158" s="246"/>
      <c r="B158" s="246"/>
      <c r="C158" s="246"/>
      <c r="D158" s="246"/>
      <c r="E158" s="246"/>
      <c r="F158" s="246"/>
      <c r="G158" s="246"/>
      <c r="H158" s="246"/>
      <c r="I158" s="246"/>
      <c r="J158" s="246"/>
      <c r="K158" s="246"/>
      <c r="L158" s="246"/>
      <c r="M158" s="246"/>
      <c r="N158" s="246"/>
      <c r="O158" s="246"/>
      <c r="P158" s="246"/>
      <c r="Q158" s="246"/>
      <c r="R158" s="246"/>
      <c r="S158" s="294"/>
      <c r="T158" s="294"/>
      <c r="U158" s="246"/>
      <c r="V158" s="246"/>
      <c r="W158" s="246"/>
      <c r="X158" s="246"/>
      <c r="Y158" s="246"/>
      <c r="Z158" s="246"/>
      <c r="AA158" s="246"/>
      <c r="AB158" s="246"/>
      <c r="AC158" s="246"/>
      <c r="AD158" s="246"/>
      <c r="AE158" s="246"/>
      <c r="AF158" s="246"/>
      <c r="AG158" s="246"/>
      <c r="AH158" s="246"/>
      <c r="AI158" s="246"/>
      <c r="AJ158" s="246"/>
      <c r="AK158" s="246"/>
      <c r="AL158" s="246"/>
      <c r="AM158" s="246"/>
      <c r="AN158" s="246"/>
      <c r="AO158" s="246"/>
    </row>
    <row r="159" spans="1:41" ht="13.5">
      <c r="A159" s="246"/>
      <c r="B159" s="246"/>
      <c r="C159" s="246"/>
      <c r="D159" s="246"/>
      <c r="E159" s="246"/>
      <c r="F159" s="246"/>
      <c r="G159" s="246"/>
      <c r="H159" s="246"/>
      <c r="I159" s="246"/>
      <c r="J159" s="246"/>
      <c r="K159" s="246"/>
      <c r="L159" s="246"/>
      <c r="M159" s="246"/>
      <c r="N159" s="246"/>
      <c r="O159" s="246"/>
      <c r="P159" s="246"/>
      <c r="Q159" s="246"/>
      <c r="R159" s="246"/>
      <c r="S159" s="294"/>
      <c r="T159" s="294"/>
      <c r="U159" s="246"/>
      <c r="V159" s="246"/>
      <c r="W159" s="246"/>
      <c r="X159" s="246"/>
      <c r="Y159" s="246"/>
      <c r="Z159" s="246"/>
      <c r="AA159" s="246"/>
      <c r="AB159" s="246"/>
      <c r="AC159" s="246"/>
      <c r="AD159" s="246"/>
      <c r="AE159" s="246"/>
      <c r="AF159" s="246"/>
      <c r="AG159" s="246"/>
      <c r="AH159" s="246"/>
      <c r="AI159" s="246"/>
      <c r="AJ159" s="246"/>
      <c r="AK159" s="246"/>
      <c r="AL159" s="246"/>
      <c r="AM159" s="246"/>
      <c r="AN159" s="246"/>
      <c r="AO159" s="246"/>
    </row>
    <row r="160" spans="1:41" ht="13.5">
      <c r="A160" s="246"/>
      <c r="B160" s="246"/>
      <c r="C160" s="246"/>
      <c r="D160" s="246"/>
      <c r="E160" s="246"/>
      <c r="F160" s="246"/>
      <c r="G160" s="246"/>
      <c r="H160" s="246"/>
      <c r="I160" s="246"/>
      <c r="J160" s="246"/>
      <c r="K160" s="246"/>
      <c r="L160" s="246"/>
      <c r="M160" s="246"/>
      <c r="N160" s="246"/>
      <c r="O160" s="246"/>
      <c r="P160" s="246"/>
      <c r="Q160" s="246"/>
      <c r="R160" s="294"/>
      <c r="S160" s="294"/>
      <c r="T160" s="294"/>
      <c r="U160" s="246"/>
      <c r="V160" s="246"/>
      <c r="W160" s="246"/>
      <c r="X160" s="246"/>
      <c r="Y160" s="246"/>
      <c r="Z160" s="246"/>
      <c r="AA160" s="246"/>
      <c r="AB160" s="246"/>
      <c r="AC160" s="246"/>
      <c r="AD160" s="246"/>
      <c r="AE160" s="246"/>
      <c r="AF160" s="246"/>
      <c r="AG160" s="246"/>
      <c r="AH160" s="246"/>
      <c r="AI160" s="246"/>
      <c r="AJ160" s="246"/>
      <c r="AK160" s="246"/>
      <c r="AL160" s="246"/>
      <c r="AM160" s="246"/>
      <c r="AN160" s="246"/>
      <c r="AO160" s="246"/>
    </row>
    <row r="161" spans="1:41" ht="13.5">
      <c r="A161" s="246"/>
      <c r="B161" s="246"/>
      <c r="C161" s="246"/>
      <c r="D161" s="246"/>
      <c r="E161" s="246"/>
      <c r="F161" s="246"/>
      <c r="G161" s="246"/>
      <c r="H161" s="246"/>
      <c r="I161" s="246"/>
      <c r="J161" s="246"/>
      <c r="K161" s="246"/>
      <c r="L161" s="246"/>
      <c r="M161" s="246"/>
      <c r="N161" s="246"/>
      <c r="O161" s="246"/>
      <c r="P161" s="246"/>
      <c r="Q161" s="246"/>
      <c r="R161" s="294"/>
      <c r="S161" s="294"/>
      <c r="T161" s="294"/>
      <c r="U161" s="246"/>
      <c r="V161" s="246"/>
      <c r="W161" s="246"/>
      <c r="X161" s="246"/>
      <c r="Y161" s="246"/>
      <c r="Z161" s="246"/>
      <c r="AA161" s="246"/>
      <c r="AB161" s="246"/>
      <c r="AC161" s="246"/>
      <c r="AD161" s="246"/>
      <c r="AE161" s="246"/>
      <c r="AF161" s="246"/>
      <c r="AG161" s="246"/>
      <c r="AH161" s="246"/>
      <c r="AI161" s="246"/>
      <c r="AJ161" s="246"/>
      <c r="AK161" s="246"/>
      <c r="AL161" s="246"/>
      <c r="AM161" s="246"/>
      <c r="AN161" s="246"/>
      <c r="AO161" s="246"/>
    </row>
    <row r="162" spans="1:41" ht="13.5">
      <c r="A162" s="246"/>
      <c r="B162" s="246"/>
      <c r="C162" s="246"/>
      <c r="D162" s="246"/>
      <c r="E162" s="246"/>
      <c r="F162" s="246"/>
      <c r="G162" s="246"/>
      <c r="H162" s="246"/>
      <c r="I162" s="246"/>
      <c r="J162" s="246"/>
      <c r="K162" s="246"/>
      <c r="L162" s="246"/>
      <c r="M162" s="246"/>
      <c r="N162" s="246"/>
      <c r="O162" s="246"/>
      <c r="P162" s="246"/>
      <c r="Q162" s="246"/>
      <c r="R162" s="294"/>
      <c r="S162" s="294"/>
      <c r="T162" s="294"/>
      <c r="U162" s="246"/>
      <c r="V162" s="246"/>
      <c r="W162" s="246"/>
      <c r="X162" s="246"/>
      <c r="Y162" s="246"/>
      <c r="Z162" s="246"/>
      <c r="AA162" s="246"/>
      <c r="AB162" s="246"/>
      <c r="AC162" s="246"/>
      <c r="AD162" s="246"/>
      <c r="AE162" s="246"/>
      <c r="AF162" s="246"/>
      <c r="AG162" s="246"/>
      <c r="AH162" s="246"/>
      <c r="AI162" s="246"/>
      <c r="AJ162" s="246"/>
      <c r="AK162" s="246"/>
      <c r="AL162" s="246"/>
      <c r="AM162" s="246"/>
      <c r="AN162" s="246"/>
      <c r="AO162" s="246"/>
    </row>
    <row r="163" spans="1:41" ht="13.5">
      <c r="A163" s="246"/>
      <c r="B163" s="246"/>
      <c r="C163" s="246"/>
      <c r="D163" s="246"/>
      <c r="E163" s="246"/>
      <c r="F163" s="246"/>
      <c r="G163" s="246"/>
      <c r="H163" s="246"/>
      <c r="I163" s="246"/>
      <c r="J163" s="246"/>
      <c r="K163" s="246"/>
      <c r="L163" s="246"/>
      <c r="M163" s="246"/>
      <c r="N163" s="246"/>
      <c r="O163" s="246"/>
      <c r="P163" s="246"/>
      <c r="Q163" s="246"/>
      <c r="R163" s="246"/>
      <c r="S163" s="246"/>
      <c r="T163" s="246"/>
      <c r="U163" s="246"/>
      <c r="V163" s="246"/>
      <c r="W163" s="246"/>
      <c r="X163" s="246"/>
      <c r="Y163" s="246"/>
      <c r="Z163" s="246"/>
      <c r="AA163" s="246"/>
      <c r="AB163" s="246"/>
      <c r="AC163" s="246"/>
      <c r="AD163" s="246"/>
      <c r="AE163" s="246"/>
      <c r="AF163" s="246"/>
      <c r="AG163" s="246"/>
      <c r="AH163" s="246"/>
      <c r="AI163" s="246"/>
      <c r="AJ163" s="246"/>
      <c r="AK163" s="246"/>
      <c r="AL163" s="246"/>
      <c r="AM163" s="246"/>
      <c r="AN163" s="246"/>
      <c r="AO163" s="246"/>
    </row>
    <row r="164" spans="1:41" ht="13.5">
      <c r="A164" s="246"/>
      <c r="B164" s="246"/>
      <c r="C164" s="246"/>
      <c r="D164" s="246"/>
      <c r="E164" s="246"/>
      <c r="F164" s="246"/>
      <c r="G164" s="246"/>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246"/>
      <c r="AL164" s="246"/>
      <c r="AM164" s="246"/>
      <c r="AN164" s="246"/>
      <c r="AO164" s="246"/>
    </row>
    <row r="165" spans="1:41" ht="13.5">
      <c r="A165" s="246"/>
      <c r="B165" s="246"/>
      <c r="C165" s="246"/>
      <c r="D165" s="246"/>
      <c r="E165" s="246"/>
      <c r="F165" s="246"/>
      <c r="G165" s="246"/>
      <c r="H165" s="246"/>
      <c r="I165" s="246"/>
      <c r="J165" s="246"/>
      <c r="K165" s="246"/>
      <c r="L165" s="246"/>
      <c r="M165" s="246"/>
      <c r="N165" s="246"/>
      <c r="O165" s="246"/>
      <c r="P165" s="246"/>
      <c r="Q165" s="246"/>
      <c r="R165" s="246"/>
      <c r="S165" s="246"/>
      <c r="T165" s="246"/>
      <c r="U165" s="246"/>
      <c r="V165" s="246"/>
      <c r="W165" s="246"/>
      <c r="X165" s="246"/>
      <c r="Y165" s="246"/>
      <c r="Z165" s="246"/>
      <c r="AA165" s="246"/>
      <c r="AB165" s="246"/>
      <c r="AC165" s="246"/>
      <c r="AD165" s="246"/>
      <c r="AE165" s="246"/>
      <c r="AF165" s="246"/>
      <c r="AG165" s="246"/>
      <c r="AH165" s="246"/>
      <c r="AI165" s="246"/>
      <c r="AJ165" s="246"/>
      <c r="AK165" s="246"/>
      <c r="AL165" s="246"/>
      <c r="AM165" s="246"/>
      <c r="AN165" s="246"/>
      <c r="AO165" s="246"/>
    </row>
    <row r="166" spans="1:41" ht="13.5">
      <c r="A166" s="246"/>
      <c r="B166" s="246"/>
      <c r="C166" s="246"/>
      <c r="D166" s="246"/>
      <c r="E166" s="246"/>
      <c r="F166" s="246"/>
      <c r="G166" s="246"/>
      <c r="H166" s="246"/>
      <c r="I166" s="246"/>
      <c r="J166" s="246"/>
      <c r="K166" s="246"/>
      <c r="L166" s="246"/>
      <c r="M166" s="246"/>
      <c r="N166" s="246"/>
      <c r="O166" s="246"/>
      <c r="P166" s="246"/>
      <c r="Q166" s="246"/>
      <c r="R166" s="246"/>
      <c r="S166" s="246"/>
      <c r="T166" s="246"/>
      <c r="U166" s="246"/>
      <c r="V166" s="246"/>
      <c r="W166" s="246"/>
      <c r="X166" s="246"/>
      <c r="Y166" s="246"/>
      <c r="Z166" s="246"/>
      <c r="AA166" s="246"/>
      <c r="AB166" s="246"/>
      <c r="AC166" s="246"/>
      <c r="AD166" s="246"/>
      <c r="AE166" s="246"/>
      <c r="AF166" s="246"/>
      <c r="AG166" s="246"/>
      <c r="AH166" s="246"/>
      <c r="AI166" s="246"/>
      <c r="AJ166" s="246"/>
      <c r="AK166" s="246"/>
      <c r="AL166" s="246"/>
      <c r="AM166" s="246"/>
      <c r="AN166" s="246"/>
      <c r="AO166" s="246"/>
    </row>
    <row r="184" spans="27:32" ht="13.5">
      <c r="AA184" s="2"/>
      <c r="AB184" s="2"/>
      <c r="AC184" s="2"/>
      <c r="AD184" s="2"/>
      <c r="AE184" s="2"/>
      <c r="AF184" s="2"/>
    </row>
    <row r="185" spans="27:32" ht="13.5">
      <c r="AA185" s="2"/>
      <c r="AB185" s="2"/>
      <c r="AC185" s="2"/>
      <c r="AD185" s="2"/>
      <c r="AE185" s="2"/>
      <c r="AF185" s="2"/>
    </row>
    <row r="186" spans="27:32" ht="13.5">
      <c r="AA186" s="2"/>
      <c r="AB186" s="2"/>
      <c r="AC186" s="2"/>
      <c r="AD186" s="2"/>
      <c r="AE186" s="2"/>
      <c r="AF186" s="2"/>
    </row>
    <row r="187" spans="27:32" ht="13.5">
      <c r="AA187" s="2"/>
      <c r="AB187" s="2"/>
      <c r="AC187" s="2"/>
      <c r="AD187" s="2"/>
      <c r="AE187" s="2"/>
      <c r="AF187" s="2"/>
    </row>
    <row r="188" spans="27:32" ht="13.5">
      <c r="AA188" s="2"/>
      <c r="AB188" s="2"/>
      <c r="AC188" s="2"/>
      <c r="AD188" s="2"/>
      <c r="AE188" s="2"/>
      <c r="AF188" s="2"/>
    </row>
    <row r="189" spans="27:32" ht="13.5">
      <c r="AA189" s="2"/>
      <c r="AB189" s="2"/>
      <c r="AC189" s="2"/>
      <c r="AD189" s="2"/>
      <c r="AE189" s="2"/>
      <c r="AF189" s="2"/>
    </row>
    <row r="190" spans="27:32" ht="13.5">
      <c r="AA190" s="2"/>
      <c r="AB190" s="2"/>
      <c r="AC190" s="2"/>
      <c r="AD190" s="2"/>
      <c r="AE190" s="2"/>
      <c r="AF190" s="2"/>
    </row>
  </sheetData>
  <sheetProtection selectLockedCells="1" selectUnlockedCells="1"/>
  <printOptions horizontalCentered="1" verticalCentered="1"/>
  <pageMargins left="0.7479166666666667" right="0.7479166666666667" top="0.25" bottom="0.25" header="0.5118055555555555" footer="0.5118055555555555"/>
  <pageSetup fitToHeight="1" fitToWidth="1" horizontalDpi="300" verticalDpi="300" orientation="landscape" paperSize="3" r:id="rId4"/>
  <drawing r:id="rId3"/>
  <legacyDrawing r:id="rId2"/>
</worksheet>
</file>

<file path=xl/worksheets/sheet3.xml><?xml version="1.0" encoding="utf-8"?>
<worksheet xmlns="http://schemas.openxmlformats.org/spreadsheetml/2006/main" xmlns:r="http://schemas.openxmlformats.org/officeDocument/2006/relationships">
  <sheetPr codeName="Sheet4"/>
  <dimension ref="B4:AF45"/>
  <sheetViews>
    <sheetView showGridLines="0" zoomScalePageLayoutView="0" workbookViewId="0" topLeftCell="A1">
      <selection activeCell="A1" sqref="A1"/>
    </sheetView>
  </sheetViews>
  <sheetFormatPr defaultColWidth="9.00390625" defaultRowHeight="13.5"/>
  <cols>
    <col min="2" max="2" width="3.125" style="0" customWidth="1"/>
    <col min="7" max="7" width="3.125" style="0" customWidth="1"/>
    <col min="11" max="11" width="3.125" style="0" customWidth="1"/>
    <col min="16" max="16" width="3.125" style="0" customWidth="1"/>
    <col min="20" max="20" width="3.125" style="0" customWidth="1"/>
    <col min="22" max="22" width="3.125" style="0" customWidth="1"/>
    <col min="24" max="24" width="3.125" style="0" customWidth="1"/>
    <col min="26" max="26" width="3.125" style="0" customWidth="1"/>
    <col min="31" max="31" width="3.125" style="0" customWidth="1"/>
  </cols>
  <sheetData>
    <row r="1" ht="13.5" customHeight="1"/>
    <row r="2" ht="13.5" customHeight="1"/>
    <row r="3" ht="13.5" customHeight="1"/>
    <row r="4" spans="23:32" ht="13.5" customHeight="1">
      <c r="W4" s="42" t="s">
        <v>121</v>
      </c>
      <c r="X4" s="2"/>
      <c r="Y4" s="327" t="s">
        <v>162</v>
      </c>
      <c r="AA4" s="10" t="s">
        <v>2</v>
      </c>
      <c r="AB4" s="10" t="s">
        <v>3</v>
      </c>
      <c r="AC4" s="10" t="s">
        <v>4</v>
      </c>
      <c r="AD4" s="10" t="s">
        <v>0</v>
      </c>
      <c r="AF4" s="2"/>
    </row>
    <row r="5" spans="4:32" ht="13.5" customHeight="1" thickBot="1">
      <c r="D5" s="407" t="s">
        <v>155</v>
      </c>
      <c r="M5" s="407" t="s">
        <v>229</v>
      </c>
      <c r="U5" s="481" t="s">
        <v>240</v>
      </c>
      <c r="W5" s="29">
        <f>-W14</f>
        <v>-0.10223132445849425</v>
      </c>
      <c r="Y5" s="29">
        <f>(1-1/NPV)/Term</f>
        <v>-0.13588771620285708</v>
      </c>
      <c r="AA5" s="458">
        <f>IState!G13</f>
        <v>1</v>
      </c>
      <c r="AB5" s="231">
        <f>IState!H13</f>
        <v>0.1</v>
      </c>
      <c r="AC5" s="232">
        <f>IState!I13</f>
        <v>0.3333333333333333</v>
      </c>
      <c r="AD5" s="392">
        <f>IState!J13</f>
        <v>1</v>
      </c>
      <c r="AF5" s="444" t="s">
        <v>211</v>
      </c>
    </row>
    <row r="6" spans="23:27" ht="13.5" customHeight="1">
      <c r="W6" s="495">
        <f>IState!C13</f>
        <v>-0.1</v>
      </c>
      <c r="Y6" s="495">
        <f>IState!E13</f>
        <v>-0.13553101428571446</v>
      </c>
      <c r="AA6" s="12" t="s">
        <v>6</v>
      </c>
    </row>
    <row r="7" ht="13.5" customHeight="1"/>
    <row r="8" ht="13.5" customHeight="1"/>
    <row r="9" spans="3:27" ht="13.5" customHeight="1">
      <c r="C9" s="10" t="s">
        <v>2</v>
      </c>
      <c r="D9" s="10" t="s">
        <v>3</v>
      </c>
      <c r="E9" s="10" t="s">
        <v>4</v>
      </c>
      <c r="F9" s="10" t="s">
        <v>0</v>
      </c>
      <c r="K9" s="100" t="s">
        <v>54</v>
      </c>
      <c r="L9" s="10" t="s">
        <v>2</v>
      </c>
      <c r="M9" s="10" t="s">
        <v>3</v>
      </c>
      <c r="N9" s="10" t="s">
        <v>4</v>
      </c>
      <c r="O9" s="10" t="s">
        <v>0</v>
      </c>
      <c r="U9" s="383" t="s">
        <v>163</v>
      </c>
      <c r="W9" s="495">
        <f>IState!C9</f>
        <v>0.5131581182307065</v>
      </c>
      <c r="Y9" s="430" t="s">
        <v>142</v>
      </c>
      <c r="AA9" s="361" t="s">
        <v>194</v>
      </c>
    </row>
    <row r="10" spans="2:29" ht="13.5" customHeight="1" thickBot="1">
      <c r="B10" s="10" t="s">
        <v>2</v>
      </c>
      <c r="C10" s="460">
        <f>C11+C12</f>
        <v>-3316658.4002205115</v>
      </c>
      <c r="D10" s="56">
        <f>D11+D12</f>
        <v>2549.8492533029566</v>
      </c>
      <c r="E10" s="57">
        <f>E11+E12</f>
        <v>21062.865668126826</v>
      </c>
      <c r="F10" s="57">
        <f>F11+F12</f>
        <v>110617.55346310313</v>
      </c>
      <c r="G10" s="10" t="s">
        <v>2</v>
      </c>
      <c r="H10" s="355" t="s">
        <v>108</v>
      </c>
      <c r="K10" s="10" t="s">
        <v>2</v>
      </c>
      <c r="L10" s="580">
        <f>-2*GPE!E10</f>
        <v>-209177.65222849973</v>
      </c>
      <c r="M10" s="56">
        <f>M11+M12</f>
        <v>200.57205260924496</v>
      </c>
      <c r="N10" s="57">
        <f>N11+N12</f>
        <v>1567.1082452885375</v>
      </c>
      <c r="O10" s="57">
        <f>O11+O12</f>
        <v>3944.9319108187065</v>
      </c>
      <c r="P10" s="10" t="s">
        <v>2</v>
      </c>
      <c r="U10" s="416" t="s">
        <v>217</v>
      </c>
      <c r="W10" s="413">
        <f>(1-Nu/V0)^(-Term)</f>
        <v>0.5305027795382804</v>
      </c>
      <c r="Y10" s="413">
        <f>1/(1+Nu*Term*Kappa/Gamma)</f>
        <v>0.5305027695310667</v>
      </c>
      <c r="AA10" s="360" t="s">
        <v>234</v>
      </c>
      <c r="AC10" s="29">
        <f>LN(1-Nu)*(1-Nu)^Term+Nu*Kappa/Gamma</f>
        <v>0.3193676257491247</v>
      </c>
    </row>
    <row r="11" spans="2:29" ht="13.5" customHeight="1">
      <c r="B11" s="10" t="s">
        <v>3</v>
      </c>
      <c r="C11" s="461">
        <f>'Econ 1'!AF15</f>
        <v>-1658329.2001102557</v>
      </c>
      <c r="D11" s="194">
        <f>'Econ 1'!AG15</f>
        <v>1274.9246266514783</v>
      </c>
      <c r="E11" s="195">
        <f>'Econ 1'!AH15</f>
        <v>10531.432834063413</v>
      </c>
      <c r="F11" s="195">
        <f>'Econ 1'!AI15</f>
        <v>55308.77673155157</v>
      </c>
      <c r="G11" s="10" t="s">
        <v>3</v>
      </c>
      <c r="H11" s="318" t="s">
        <v>223</v>
      </c>
      <c r="I11" s="355"/>
      <c r="K11" s="10" t="s">
        <v>3</v>
      </c>
      <c r="L11" s="461">
        <f>S0_1</f>
        <v>-106525.23259956294</v>
      </c>
      <c r="M11" s="194">
        <f>'Econ 1'!T47+'Econ 1'!T15</f>
        <v>100.33233551319732</v>
      </c>
      <c r="N11" s="195">
        <f>'Econ 1'!U47+'Econ 1'!U15</f>
        <v>825.6154535186707</v>
      </c>
      <c r="O11" s="195">
        <f>'Econ 1'!V47+'Econ 1'!X24+'Econ 1'!V15</f>
        <v>1940.8678516010139</v>
      </c>
      <c r="P11" s="10" t="s">
        <v>3</v>
      </c>
      <c r="Q11" s="7" t="s">
        <v>198</v>
      </c>
      <c r="S11" s="355"/>
      <c r="AC11" s="12" t="s">
        <v>95</v>
      </c>
    </row>
    <row r="12" spans="2:29" ht="13.5" customHeight="1" thickBot="1">
      <c r="B12" s="10" t="s">
        <v>4</v>
      </c>
      <c r="C12" s="477">
        <f>'Econ 2'!AF15</f>
        <v>-1658329.2001102557</v>
      </c>
      <c r="D12" s="348">
        <f>'Econ 2'!AG15</f>
        <v>1274.9246266514783</v>
      </c>
      <c r="E12" s="349">
        <f>'Econ 2'!AH15</f>
        <v>10531.432834063413</v>
      </c>
      <c r="F12" s="349">
        <f>'Econ 2'!AI15</f>
        <v>55308.77673155157</v>
      </c>
      <c r="G12" s="10" t="s">
        <v>4</v>
      </c>
      <c r="H12" s="473"/>
      <c r="I12" s="318"/>
      <c r="K12" s="10" t="s">
        <v>4</v>
      </c>
      <c r="L12" s="477">
        <f>S0_2</f>
        <v>-102652.4196289367</v>
      </c>
      <c r="M12" s="348">
        <f>'Econ 2'!T47+'Econ 2'!T15</f>
        <v>100.23971709604766</v>
      </c>
      <c r="N12" s="349">
        <f>'Econ 2'!U47+'Econ 2'!U15</f>
        <v>741.4927917698669</v>
      </c>
      <c r="O12" s="349">
        <f>'Econ 2'!V47+'Econ 2'!X24+'Econ 2'!V15</f>
        <v>2004.0640592176928</v>
      </c>
      <c r="P12" s="10" t="s">
        <v>4</v>
      </c>
      <c r="Q12" s="7" t="s">
        <v>200</v>
      </c>
      <c r="AC12" s="12" t="s">
        <v>238</v>
      </c>
    </row>
    <row r="13" spans="8:29" ht="13.5" customHeight="1">
      <c r="H13" s="474"/>
      <c r="I13" s="473"/>
      <c r="Q13" s="473"/>
      <c r="S13" s="318"/>
      <c r="W13" s="505" t="s">
        <v>139</v>
      </c>
      <c r="Y13" s="480" t="s">
        <v>208</v>
      </c>
      <c r="AC13" s="12" t="s">
        <v>239</v>
      </c>
    </row>
    <row r="14" spans="3:29" ht="13.5" customHeight="1" thickBot="1">
      <c r="C14" s="10" t="s">
        <v>2</v>
      </c>
      <c r="D14" s="10" t="s">
        <v>3</v>
      </c>
      <c r="E14" s="10" t="s">
        <v>4</v>
      </c>
      <c r="F14" s="10" t="s">
        <v>0</v>
      </c>
      <c r="I14" s="474"/>
      <c r="K14" s="100" t="s">
        <v>55</v>
      </c>
      <c r="L14" s="10" t="s">
        <v>2</v>
      </c>
      <c r="M14" s="10" t="s">
        <v>3</v>
      </c>
      <c r="N14" s="10" t="s">
        <v>4</v>
      </c>
      <c r="O14" s="10" t="s">
        <v>0</v>
      </c>
      <c r="Q14" s="474"/>
      <c r="S14" s="473"/>
      <c r="U14" s="481" t="s">
        <v>236</v>
      </c>
      <c r="W14" s="502">
        <f>AA22/Kappa-V0</f>
        <v>0.10223132445849425</v>
      </c>
      <c r="Y14" s="29">
        <v>6.512761576047168</v>
      </c>
      <c r="AA14" s="407" t="s">
        <v>235</v>
      </c>
      <c r="AC14" s="29">
        <f>Term-(1/W10-1/NPV)/AC10</f>
        <v>6.512761687386079</v>
      </c>
    </row>
    <row r="15" spans="2:25" ht="13.5" customHeight="1">
      <c r="B15" s="10" t="s">
        <v>2</v>
      </c>
      <c r="C15" s="460">
        <f>C16+C17</f>
        <v>-3525888.3600886096</v>
      </c>
      <c r="D15" s="56">
        <f>D16+D17</f>
        <v>1197984.3313160148</v>
      </c>
      <c r="E15" s="57">
        <f>E16+E17</f>
        <v>1197984.3313160148</v>
      </c>
      <c r="F15" s="57">
        <f>F16+F17</f>
        <v>1129919.6974565797</v>
      </c>
      <c r="G15" s="10" t="s">
        <v>2</v>
      </c>
      <c r="H15" s="316" t="s">
        <v>108</v>
      </c>
      <c r="K15" s="10" t="s">
        <v>2</v>
      </c>
      <c r="L15" s="460">
        <f>L16+L17</f>
        <v>-209401.30736020763</v>
      </c>
      <c r="M15" s="56">
        <f>M16+M17</f>
        <v>200.73167801415957</v>
      </c>
      <c r="N15" s="57">
        <f>N16+N17</f>
        <v>1568.4216145317782</v>
      </c>
      <c r="O15" s="57">
        <f>O16+O17</f>
        <v>3948.206131761308</v>
      </c>
      <c r="P15" s="10" t="s">
        <v>2</v>
      </c>
      <c r="S15" s="474"/>
      <c r="Y15" s="495">
        <f>IState!E9</f>
        <v>7</v>
      </c>
    </row>
    <row r="16" spans="2:19" ht="13.5" customHeight="1">
      <c r="B16" s="10" t="s">
        <v>3</v>
      </c>
      <c r="C16" s="461">
        <f>'Econ 1'!S43</f>
        <v>-1764706.2754281608</v>
      </c>
      <c r="D16" s="194">
        <f>'Econ 1'!T43</f>
        <v>599592.8093080327</v>
      </c>
      <c r="E16" s="195">
        <f>'Econ 1'!U43</f>
        <v>599592.8093080327</v>
      </c>
      <c r="F16" s="195">
        <f>'Econ 1'!V43</f>
        <v>565520.6568120951</v>
      </c>
      <c r="G16" s="10" t="s">
        <v>3</v>
      </c>
      <c r="H16" s="266" t="s">
        <v>16</v>
      </c>
      <c r="I16" s="316"/>
      <c r="K16" s="10" t="s">
        <v>3</v>
      </c>
      <c r="L16" s="461">
        <f>'Econ 1'!S72</f>
        <v>-106639.13059331829</v>
      </c>
      <c r="M16" s="194">
        <f>'Econ 1'!T72</f>
        <v>101.88145422922547</v>
      </c>
      <c r="N16" s="195">
        <f>'Econ 1'!U72</f>
        <v>796.68101787188</v>
      </c>
      <c r="O16" s="195">
        <f>'Econ 1'!V72</f>
        <v>2036.7805242184477</v>
      </c>
      <c r="P16" s="10" t="s">
        <v>3</v>
      </c>
      <c r="Q16" s="7" t="s">
        <v>198</v>
      </c>
      <c r="S16" s="316"/>
    </row>
    <row r="17" spans="2:19" ht="13.5" customHeight="1" thickBot="1">
      <c r="B17" s="10" t="s">
        <v>4</v>
      </c>
      <c r="C17" s="477">
        <f>'Econ 2'!S43</f>
        <v>-1761182.0846604488</v>
      </c>
      <c r="D17" s="348">
        <f>'Econ 2'!T43</f>
        <v>598391.5220079821</v>
      </c>
      <c r="E17" s="349">
        <f>'Econ 2'!U43</f>
        <v>598391.5220079821</v>
      </c>
      <c r="F17" s="349">
        <f>'Econ 2'!V43</f>
        <v>564399.0406444846</v>
      </c>
      <c r="G17" s="10" t="s">
        <v>4</v>
      </c>
      <c r="I17" s="266"/>
      <c r="K17" s="10" t="s">
        <v>4</v>
      </c>
      <c r="L17" s="477">
        <f>'Econ 2'!S72</f>
        <v>-102762.17676688934</v>
      </c>
      <c r="M17" s="348">
        <f>'Econ 2'!T72</f>
        <v>98.85022378493412</v>
      </c>
      <c r="N17" s="349">
        <f>'Econ 2'!U72</f>
        <v>771.7405966598983</v>
      </c>
      <c r="O17" s="349">
        <f>'Econ 2'!V72</f>
        <v>1911.4256075428602</v>
      </c>
      <c r="P17" s="10" t="s">
        <v>4</v>
      </c>
      <c r="Q17" s="7" t="s">
        <v>199</v>
      </c>
      <c r="S17" s="266"/>
    </row>
    <row r="18" spans="23:28" ht="13.5" customHeight="1">
      <c r="W18" s="100" t="s">
        <v>95</v>
      </c>
      <c r="Y18" s="100" t="s">
        <v>231</v>
      </c>
      <c r="AB18" s="100" t="s">
        <v>237</v>
      </c>
    </row>
    <row r="19" spans="17:28" ht="13.5" customHeight="1">
      <c r="Q19" s="475"/>
      <c r="U19" s="505" t="s">
        <v>262</v>
      </c>
      <c r="W19" s="100" t="s">
        <v>228</v>
      </c>
      <c r="Y19" s="100" t="s">
        <v>228</v>
      </c>
      <c r="AB19" s="506" t="s">
        <v>224</v>
      </c>
    </row>
    <row r="20" ht="13.5" customHeight="1"/>
    <row r="21" spans="2:30" ht="13.5" customHeight="1">
      <c r="B21" s="358"/>
      <c r="C21" s="280">
        <f>1</f>
        <v>1</v>
      </c>
      <c r="D21" s="281">
        <f>GPE!F18/GPE!$E18</f>
        <v>441.93345888261155</v>
      </c>
      <c r="E21" s="281">
        <f>GPE!G18/GPE!$E18</f>
        <v>53.86064030131828</v>
      </c>
      <c r="F21" s="281">
        <f>GPE!H18/GPE!$E18</f>
        <v>10</v>
      </c>
      <c r="G21" s="343"/>
      <c r="L21" s="10" t="s">
        <v>2</v>
      </c>
      <c r="M21" s="10" t="s">
        <v>3</v>
      </c>
      <c r="N21" s="10" t="s">
        <v>4</v>
      </c>
      <c r="O21" s="10" t="s">
        <v>0</v>
      </c>
      <c r="Q21" s="473"/>
      <c r="U21" s="402" t="s">
        <v>13</v>
      </c>
      <c r="W21" s="503" t="s">
        <v>136</v>
      </c>
      <c r="Y21" s="503" t="s">
        <v>230</v>
      </c>
      <c r="AA21" s="10" t="s">
        <v>2</v>
      </c>
      <c r="AB21" s="10" t="s">
        <v>3</v>
      </c>
      <c r="AC21" s="10" t="s">
        <v>4</v>
      </c>
      <c r="AD21" s="10" t="s">
        <v>0</v>
      </c>
    </row>
    <row r="22" spans="2:31" ht="13.5" customHeight="1" thickBot="1">
      <c r="B22" s="373" t="s">
        <v>124</v>
      </c>
      <c r="C22" s="80">
        <f>C15/(C10+L10)</f>
        <v>1.0000148355280336</v>
      </c>
      <c r="D22" s="47">
        <f>D15/(D10+M10)</f>
        <v>435.5639366015937</v>
      </c>
      <c r="E22" s="47">
        <f>E15/(E10+N10)</f>
        <v>52.937945748396686</v>
      </c>
      <c r="F22" s="385">
        <f>F15/(F10+O10)</f>
        <v>9.862911875284667</v>
      </c>
      <c r="H22" s="7" t="s">
        <v>9</v>
      </c>
      <c r="I22" s="7"/>
      <c r="L22" s="68"/>
      <c r="M22" s="350">
        <f>M10/M15</f>
        <v>0.9992047821923585</v>
      </c>
      <c r="N22" s="351">
        <f>N10/N15</f>
        <v>0.9991626172254501</v>
      </c>
      <c r="O22" s="351">
        <f>O10/O15</f>
        <v>0.9991707066872061</v>
      </c>
      <c r="P22" s="7" t="s">
        <v>201</v>
      </c>
      <c r="Q22" s="473"/>
      <c r="S22" s="7"/>
      <c r="U22" s="17">
        <f>-SUM(U23:U25)</f>
        <v>58.4864254949789</v>
      </c>
      <c r="V22" s="10" t="s">
        <v>2</v>
      </c>
      <c r="W22" s="17">
        <f>W30+W38</f>
        <v>-154524.22762651043</v>
      </c>
      <c r="Y22" s="17">
        <f>Y30+Y38</f>
        <v>116251.98283266071</v>
      </c>
      <c r="Z22" s="10" t="s">
        <v>2</v>
      </c>
      <c r="AA22" s="460">
        <f>AA23+AA24</f>
        <v>-170321.44407769444</v>
      </c>
      <c r="AB22" s="56"/>
      <c r="AC22" s="57"/>
      <c r="AD22" s="57"/>
      <c r="AE22" s="10" t="s">
        <v>2</v>
      </c>
    </row>
    <row r="23" spans="2:31" ht="13.5" customHeight="1">
      <c r="B23" s="358"/>
      <c r="C23" s="10">
        <v>0</v>
      </c>
      <c r="D23" s="10">
        <v>1</v>
      </c>
      <c r="E23" s="10">
        <v>2</v>
      </c>
      <c r="F23" s="10" t="s">
        <v>0</v>
      </c>
      <c r="H23" s="314" t="s">
        <v>100</v>
      </c>
      <c r="I23" s="314"/>
      <c r="K23" s="100" t="s">
        <v>55</v>
      </c>
      <c r="L23" s="71"/>
      <c r="M23" s="72">
        <f>IF(M22&lt;1,M22,1)</f>
        <v>0.9992047821923585</v>
      </c>
      <c r="N23" s="73">
        <f>IF(N22&lt;1,N22,1)</f>
        <v>0.9991626172254501</v>
      </c>
      <c r="O23" s="73">
        <f>IF(O22&lt;1,O22,1)</f>
        <v>0.9991707066872061</v>
      </c>
      <c r="P23" s="100" t="s">
        <v>55</v>
      </c>
      <c r="Q23" s="7" t="s">
        <v>126</v>
      </c>
      <c r="S23" s="314"/>
      <c r="U23" s="75">
        <f>U31+U39</f>
        <v>-7893.7934442556</v>
      </c>
      <c r="V23" s="256" t="s">
        <v>3</v>
      </c>
      <c r="W23" s="75">
        <f>W31+W39</f>
        <v>79416.38765208828</v>
      </c>
      <c r="Y23" s="75"/>
      <c r="Z23" s="256" t="s">
        <v>3</v>
      </c>
      <c r="AA23" s="461">
        <f>-SUM(AB23:AC23)</f>
        <v>-87407.53311196942</v>
      </c>
      <c r="AB23" s="194">
        <f>D$22*'Econ 1'!T47</f>
        <v>43701.14702456011</v>
      </c>
      <c r="AC23" s="195">
        <f>E$22*'Econ 1'!U47</f>
        <v>43706.38608740931</v>
      </c>
      <c r="AD23" s="195"/>
      <c r="AE23" s="10" t="s">
        <v>3</v>
      </c>
    </row>
    <row r="24" spans="11:31" ht="13.5" customHeight="1" thickBot="1">
      <c r="K24" s="100" t="s">
        <v>54</v>
      </c>
      <c r="L24" s="560"/>
      <c r="M24" s="352">
        <f>IF(M22&gt;1,1/M22,1)</f>
        <v>1</v>
      </c>
      <c r="N24" s="353">
        <f>IF(N22&gt;1,1/N22,1)</f>
        <v>1</v>
      </c>
      <c r="O24" s="353">
        <f>IF(O22&gt;1,1/O22,1)</f>
        <v>1</v>
      </c>
      <c r="P24" s="100" t="s">
        <v>54</v>
      </c>
      <c r="Q24" s="7" t="s">
        <v>202</v>
      </c>
      <c r="U24" s="75">
        <f>U32+U40</f>
        <v>-7959.846571300761</v>
      </c>
      <c r="V24" s="256" t="s">
        <v>4</v>
      </c>
      <c r="W24" s="75">
        <f>W32+W40</f>
        <v>75107.83997442215</v>
      </c>
      <c r="Y24" s="75"/>
      <c r="Z24" s="256" t="s">
        <v>4</v>
      </c>
      <c r="AA24" s="477">
        <f>-SUM(AB24:AC24)</f>
        <v>-82913.91096572502</v>
      </c>
      <c r="AB24" s="348">
        <f>D$22*'Econ 2'!T47</f>
        <v>43660.8057821846</v>
      </c>
      <c r="AC24" s="349">
        <f>E$22*'Econ 2'!U47</f>
        <v>39253.105183540414</v>
      </c>
      <c r="AD24" s="349"/>
      <c r="AE24" s="10" t="s">
        <v>4</v>
      </c>
    </row>
    <row r="25" spans="21:26" ht="13.5" customHeight="1" thickBot="1">
      <c r="U25" s="236">
        <f>U33+U41</f>
        <v>15795.153590061382</v>
      </c>
      <c r="V25" s="256" t="s">
        <v>0</v>
      </c>
      <c r="W25" s="236"/>
      <c r="Y25" s="236"/>
      <c r="Z25" s="256" t="s">
        <v>0</v>
      </c>
    </row>
    <row r="26" spans="21:28" ht="13.5" customHeight="1">
      <c r="U26" s="504" t="s">
        <v>232</v>
      </c>
      <c r="W26" s="504" t="s">
        <v>233</v>
      </c>
      <c r="Y26" s="504" t="s">
        <v>233</v>
      </c>
      <c r="AB26" s="504" t="s">
        <v>232</v>
      </c>
    </row>
    <row r="27" ht="13.5" customHeight="1"/>
    <row r="28" spans="11:16" ht="13.5" customHeight="1">
      <c r="K28" s="100" t="s">
        <v>54</v>
      </c>
      <c r="L28" s="10" t="s">
        <v>2</v>
      </c>
      <c r="M28" s="10" t="s">
        <v>3</v>
      </c>
      <c r="N28" s="10" t="s">
        <v>4</v>
      </c>
      <c r="O28" s="10" t="s">
        <v>0</v>
      </c>
      <c r="P28" s="2"/>
    </row>
    <row r="29" spans="11:25" ht="13.5" customHeight="1">
      <c r="K29" s="10" t="s">
        <v>2</v>
      </c>
      <c r="L29" s="460"/>
      <c r="M29" s="56">
        <f>M30+M31</f>
        <v>200.57205260924496</v>
      </c>
      <c r="N29" s="57">
        <f>N30+N31</f>
        <v>1567.1082452885375</v>
      </c>
      <c r="O29" s="57">
        <f>O30+O31</f>
        <v>3944.9319108187065</v>
      </c>
      <c r="P29" s="10" t="s">
        <v>2</v>
      </c>
      <c r="Q29" s="7" t="s">
        <v>198</v>
      </c>
      <c r="U29" s="402" t="s">
        <v>13</v>
      </c>
      <c r="W29" s="317" t="s">
        <v>70</v>
      </c>
      <c r="Y29" s="503" t="s">
        <v>230</v>
      </c>
    </row>
    <row r="30" spans="11:26" ht="13.5" customHeight="1">
      <c r="K30" s="10" t="s">
        <v>3</v>
      </c>
      <c r="L30" s="461"/>
      <c r="M30" s="194">
        <f aca="true" t="shared" si="0" ref="M30:O31">M$24*M11</f>
        <v>100.33233551319732</v>
      </c>
      <c r="N30" s="195">
        <f t="shared" si="0"/>
        <v>825.6154535186707</v>
      </c>
      <c r="O30" s="195">
        <f t="shared" si="0"/>
        <v>1940.8678516010139</v>
      </c>
      <c r="P30" s="10" t="s">
        <v>3</v>
      </c>
      <c r="Q30" s="7" t="s">
        <v>200</v>
      </c>
      <c r="U30" s="17">
        <f>'Econ 1'!Q37-'Econ 1'!Q57</f>
        <v>225.8408399107866</v>
      </c>
      <c r="V30" s="10" t="s">
        <v>2</v>
      </c>
      <c r="W30" s="17">
        <f>-SUM(W31:W33)</f>
        <v>-79116.07153251715</v>
      </c>
      <c r="Y30" s="17">
        <f>W30*Gamma1/Kappa1</f>
        <v>53347.32257836707</v>
      </c>
      <c r="Z30" s="10" t="s">
        <v>2</v>
      </c>
    </row>
    <row r="31" spans="11:27" ht="13.5" customHeight="1" thickBot="1">
      <c r="K31" s="10" t="s">
        <v>4</v>
      </c>
      <c r="L31" s="477"/>
      <c r="M31" s="348">
        <f t="shared" si="0"/>
        <v>100.23971709604766</v>
      </c>
      <c r="N31" s="349">
        <f t="shared" si="0"/>
        <v>741.4927917698669</v>
      </c>
      <c r="O31" s="349">
        <f t="shared" si="0"/>
        <v>2004.0640592176928</v>
      </c>
      <c r="P31" s="10" t="s">
        <v>4</v>
      </c>
      <c r="Q31" s="7" t="s">
        <v>203</v>
      </c>
      <c r="U31" s="75">
        <f>'Econ 1'!Q38-'Econ 1'!Q58</f>
        <v>-4050.834786089603</v>
      </c>
      <c r="V31" s="256" t="s">
        <v>3</v>
      </c>
      <c r="W31" s="75">
        <f>-'Econ 1'!H22</f>
        <v>39723.96946080851</v>
      </c>
      <c r="Y31" s="75"/>
      <c r="Z31" s="256" t="s">
        <v>3</v>
      </c>
      <c r="AA31" s="7" t="s">
        <v>227</v>
      </c>
    </row>
    <row r="32" spans="21:27" ht="13.5" customHeight="1">
      <c r="U32" s="75">
        <f>'Econ 1'!Q39-'Econ 1'!Q59</f>
        <v>-4451.599974431796</v>
      </c>
      <c r="V32" s="256" t="s">
        <v>4</v>
      </c>
      <c r="W32" s="75">
        <f>-'Econ 1'!H23</f>
        <v>39392.102071708636</v>
      </c>
      <c r="Y32" s="75"/>
      <c r="Z32" s="256" t="s">
        <v>4</v>
      </c>
      <c r="AA32" s="7" t="s">
        <v>225</v>
      </c>
    </row>
    <row r="33" spans="11:26" ht="13.5" customHeight="1" thickBot="1">
      <c r="K33" s="100" t="s">
        <v>55</v>
      </c>
      <c r="L33" s="10" t="s">
        <v>2</v>
      </c>
      <c r="M33" s="10" t="s">
        <v>3</v>
      </c>
      <c r="N33" s="10" t="s">
        <v>4</v>
      </c>
      <c r="O33" s="10" t="s">
        <v>0</v>
      </c>
      <c r="Q33" s="475"/>
      <c r="U33" s="236">
        <f>'Econ 1'!Q40-'Econ 1'!Q60</f>
        <v>8276.593920610765</v>
      </c>
      <c r="V33" s="256" t="s">
        <v>0</v>
      </c>
      <c r="W33" s="236"/>
      <c r="Y33" s="236"/>
      <c r="Z33" s="256" t="s">
        <v>0</v>
      </c>
    </row>
    <row r="34" spans="11:25" ht="13.5" customHeight="1">
      <c r="K34" s="10" t="s">
        <v>2</v>
      </c>
      <c r="L34" s="17"/>
      <c r="M34" s="56">
        <f>M35+M36</f>
        <v>200.57205260924496</v>
      </c>
      <c r="N34" s="57">
        <f>N35+N36</f>
        <v>1567.1082452885375</v>
      </c>
      <c r="O34" s="57">
        <f>O35+O36</f>
        <v>3944.9319108187065</v>
      </c>
      <c r="P34" s="10" t="s">
        <v>2</v>
      </c>
      <c r="Q34" s="7" t="s">
        <v>198</v>
      </c>
      <c r="U34" s="504" t="s">
        <v>232</v>
      </c>
      <c r="W34" s="504" t="s">
        <v>233</v>
      </c>
      <c r="Y34" s="504" t="s">
        <v>233</v>
      </c>
    </row>
    <row r="35" spans="11:17" ht="13.5" customHeight="1">
      <c r="K35" s="10" t="s">
        <v>3</v>
      </c>
      <c r="L35" s="193"/>
      <c r="M35" s="194">
        <f aca="true" t="shared" si="1" ref="M35:O36">M$23*M16</f>
        <v>101.80043628255397</v>
      </c>
      <c r="N35" s="195">
        <f t="shared" si="1"/>
        <v>796.0138909107033</v>
      </c>
      <c r="O35" s="195">
        <f t="shared" si="1"/>
        <v>2035.0914357500844</v>
      </c>
      <c r="P35" s="10" t="s">
        <v>3</v>
      </c>
      <c r="Q35" s="7" t="s">
        <v>199</v>
      </c>
    </row>
    <row r="36" spans="11:17" ht="13.5" customHeight="1" thickBot="1">
      <c r="K36" s="10" t="s">
        <v>4</v>
      </c>
      <c r="L36" s="456"/>
      <c r="M36" s="348">
        <f t="shared" si="1"/>
        <v>98.77161632669099</v>
      </c>
      <c r="N36" s="349">
        <f t="shared" si="1"/>
        <v>771.0943543778344</v>
      </c>
      <c r="O36" s="349">
        <f t="shared" si="1"/>
        <v>1909.8404750686218</v>
      </c>
      <c r="P36" s="10" t="s">
        <v>4</v>
      </c>
      <c r="Q36" s="7" t="s">
        <v>204</v>
      </c>
    </row>
    <row r="37" spans="21:25" ht="13.5" customHeight="1">
      <c r="U37" s="402" t="s">
        <v>13</v>
      </c>
      <c r="W37" s="317" t="s">
        <v>70</v>
      </c>
      <c r="Y37" s="503" t="s">
        <v>230</v>
      </c>
    </row>
    <row r="38" spans="21:26" ht="13.5" customHeight="1">
      <c r="U38" s="17">
        <f>'Econ 2'!Q37-'Econ 2'!Q57</f>
        <v>-167.35441441554576</v>
      </c>
      <c r="V38" s="10" t="s">
        <v>2</v>
      </c>
      <c r="W38" s="17">
        <f>-SUM(W39:W41)</f>
        <v>-75408.15609399328</v>
      </c>
      <c r="Y38" s="17">
        <f>W38*Gamma2/Kappa2</f>
        <v>62904.66025429364</v>
      </c>
      <c r="Z38" s="10" t="s">
        <v>2</v>
      </c>
    </row>
    <row r="39" spans="21:27" ht="13.5" customHeight="1">
      <c r="U39" s="75">
        <f>'Econ 2'!Q38-'Econ 2'!Q58</f>
        <v>-3842.958658165997</v>
      </c>
      <c r="V39" s="256" t="s">
        <v>3</v>
      </c>
      <c r="W39" s="75">
        <f>-'Econ 2'!H22</f>
        <v>39692.41819127977</v>
      </c>
      <c r="Y39" s="75"/>
      <c r="Z39" s="256" t="s">
        <v>3</v>
      </c>
      <c r="AA39" s="7" t="s">
        <v>227</v>
      </c>
    </row>
    <row r="40" spans="11:27" ht="13.5" customHeight="1">
      <c r="K40" s="100" t="s">
        <v>156</v>
      </c>
      <c r="L40" s="10" t="s">
        <v>2</v>
      </c>
      <c r="M40" s="10" t="s">
        <v>3</v>
      </c>
      <c r="N40" s="10" t="s">
        <v>4</v>
      </c>
      <c r="O40" s="10" t="s">
        <v>0</v>
      </c>
      <c r="P40" s="2"/>
      <c r="U40" s="75">
        <f>'Econ 2'!Q39-'Econ 2'!Q59</f>
        <v>-3508.246596868965</v>
      </c>
      <c r="V40" s="256" t="s">
        <v>4</v>
      </c>
      <c r="W40" s="75">
        <f>-'Econ 2'!H23</f>
        <v>35715.73790271351</v>
      </c>
      <c r="Y40" s="75"/>
      <c r="Z40" s="256" t="s">
        <v>4</v>
      </c>
      <c r="AA40" s="7" t="s">
        <v>226</v>
      </c>
    </row>
    <row r="41" spans="11:26" ht="13.5" customHeight="1" thickBot="1">
      <c r="K41" s="10" t="s">
        <v>2</v>
      </c>
      <c r="L41" s="17">
        <f>L42+L43</f>
        <v>-1.0800249583553523E-11</v>
      </c>
      <c r="M41" s="56">
        <f>M42+M43</f>
        <v>1.4210854715202004E-14</v>
      </c>
      <c r="N41" s="57">
        <f>N42+N43</f>
        <v>0</v>
      </c>
      <c r="O41" s="57">
        <f>O42+O43</f>
        <v>4.547473508864641E-13</v>
      </c>
      <c r="P41" s="10" t="s">
        <v>2</v>
      </c>
      <c r="Q41" s="7" t="s">
        <v>125</v>
      </c>
      <c r="U41" s="236">
        <f>'Econ 2'!Q40-'Econ 2'!Q60</f>
        <v>7518.559669450617</v>
      </c>
      <c r="V41" s="256" t="s">
        <v>0</v>
      </c>
      <c r="W41" s="236"/>
      <c r="Y41" s="236"/>
      <c r="Z41" s="256" t="s">
        <v>0</v>
      </c>
    </row>
    <row r="42" spans="11:25" ht="13.5" customHeight="1">
      <c r="K42" s="10" t="s">
        <v>3</v>
      </c>
      <c r="L42" s="577">
        <f>-D$22*M42-E$22*N42-F$22*O42</f>
        <v>1.7247420562139268</v>
      </c>
      <c r="M42" s="362">
        <f aca="true" t="shared" si="2" ref="M42:O43">M30-M35</f>
        <v>-1.4681007693566528</v>
      </c>
      <c r="N42" s="301">
        <f t="shared" si="2"/>
        <v>29.60156260796748</v>
      </c>
      <c r="O42" s="301">
        <f t="shared" si="2"/>
        <v>-94.22358414907058</v>
      </c>
      <c r="P42" s="10" t="s">
        <v>3</v>
      </c>
      <c r="Q42" s="7" t="s">
        <v>127</v>
      </c>
      <c r="U42" s="504" t="s">
        <v>232</v>
      </c>
      <c r="W42" s="504" t="s">
        <v>233</v>
      </c>
      <c r="Y42" s="504" t="s">
        <v>233</v>
      </c>
    </row>
    <row r="43" spans="11:17" ht="13.5" customHeight="1" thickBot="1">
      <c r="K43" s="10" t="s">
        <v>4</v>
      </c>
      <c r="L43" s="578">
        <f>-D$22*M43-E$22*N43-F$22*O43</f>
        <v>-1.724742056224727</v>
      </c>
      <c r="M43" s="363">
        <f t="shared" si="2"/>
        <v>1.468100769356667</v>
      </c>
      <c r="N43" s="364">
        <f t="shared" si="2"/>
        <v>-29.60156260796748</v>
      </c>
      <c r="O43" s="364">
        <f t="shared" si="2"/>
        <v>94.22358414907103</v>
      </c>
      <c r="P43" s="10" t="s">
        <v>4</v>
      </c>
      <c r="Q43" s="7" t="s">
        <v>128</v>
      </c>
    </row>
    <row r="44" ht="13.5" customHeight="1"/>
    <row r="45" ht="13.5" customHeight="1">
      <c r="L45" s="504" t="s">
        <v>232</v>
      </c>
    </row>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selectLockedCells="1" selectUnlockedCells="1"/>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8"/>
  <dimension ref="A1:AY136"/>
  <sheetViews>
    <sheetView showGridLines="0" zoomScalePageLayoutView="0" workbookViewId="0" topLeftCell="A1">
      <selection activeCell="A1" sqref="A1"/>
    </sheetView>
  </sheetViews>
  <sheetFormatPr defaultColWidth="9.00390625" defaultRowHeight="13.5"/>
  <cols>
    <col min="3" max="3" width="3.125" style="0" customWidth="1"/>
    <col min="5" max="5" width="3.125" style="0" customWidth="1"/>
    <col min="7" max="7" width="3.125" style="0" customWidth="1"/>
    <col min="12" max="12" width="3.125" style="0" customWidth="1"/>
    <col min="16" max="16" width="3.125" style="0" customWidth="1"/>
    <col min="18" max="18" width="3.125" style="0" customWidth="1"/>
    <col min="23" max="23" width="3.125" style="0" customWidth="1"/>
    <col min="25" max="25" width="3.125" style="0" customWidth="1"/>
    <col min="29" max="29" width="3.125" style="0" customWidth="1"/>
    <col min="31" max="31" width="3.125" style="0" customWidth="1"/>
    <col min="36" max="36" width="3.125" style="0" customWidth="1"/>
    <col min="38" max="38" width="3.125" style="0" customWidth="1"/>
    <col min="40" max="40" width="3.125" style="0" customWidth="1"/>
  </cols>
  <sheetData>
    <row r="1" ht="13.5" customHeight="1">
      <c r="A1" s="310"/>
    </row>
    <row r="2" spans="41:51" ht="13.5" customHeight="1">
      <c r="AO2" s="2"/>
      <c r="AP2" s="2"/>
      <c r="AQ2" s="2"/>
      <c r="AR2" s="2"/>
      <c r="AS2" s="2"/>
      <c r="AT2" s="2"/>
      <c r="AU2" s="2"/>
      <c r="AV2" s="2"/>
      <c r="AW2" s="2"/>
      <c r="AX2" s="2"/>
      <c r="AY2" s="2"/>
    </row>
    <row r="3" spans="1:51" ht="13.5" customHeight="1">
      <c r="A3" s="233"/>
      <c r="O3" s="2"/>
      <c r="P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2:51" ht="13.5" customHeight="1">
      <c r="B4" s="310"/>
      <c r="C4" s="310"/>
      <c r="P4" s="2"/>
      <c r="Q4" s="2"/>
      <c r="R4" s="2"/>
      <c r="S4" s="2"/>
      <c r="T4" s="2"/>
      <c r="U4" s="2"/>
      <c r="V4" s="2"/>
      <c r="W4" s="2"/>
      <c r="X4" s="2"/>
      <c r="AB4" s="2"/>
      <c r="AC4" s="2"/>
      <c r="AD4" s="2"/>
      <c r="AE4" s="2"/>
      <c r="AF4" s="2"/>
      <c r="AG4" s="2"/>
      <c r="AH4" s="2"/>
      <c r="AI4" s="2"/>
      <c r="AJ4" s="2"/>
      <c r="AK4" s="2"/>
      <c r="AL4" s="2"/>
      <c r="AM4" s="2"/>
      <c r="AN4" s="2"/>
      <c r="AT4" s="2"/>
      <c r="AU4" s="2"/>
      <c r="AV4" s="2"/>
      <c r="AW4" s="2"/>
      <c r="AX4" s="2"/>
      <c r="AY4" s="2"/>
    </row>
    <row r="5" spans="30:51" ht="13.5" customHeight="1" thickBot="1">
      <c r="AD5" s="2"/>
      <c r="AE5" s="2"/>
      <c r="AF5" s="5"/>
      <c r="AG5" s="6">
        <f>-SUM(AG7:AG10)</f>
        <v>-2069.2089930830075</v>
      </c>
      <c r="AH5" s="6">
        <f>-SUM(AH7:AH10)</f>
        <v>-16331.432834063413</v>
      </c>
      <c r="AI5" s="312">
        <f>-SUM(AI7:AI10)</f>
        <v>-53792.96776156466</v>
      </c>
      <c r="AJ5" s="2"/>
      <c r="AL5" s="2"/>
      <c r="AT5" s="2"/>
      <c r="AU5" s="2"/>
      <c r="AV5" s="2"/>
      <c r="AW5" s="2"/>
      <c r="AX5" s="2"/>
      <c r="AY5" s="2"/>
    </row>
    <row r="6" spans="5:51" ht="13.5" customHeight="1">
      <c r="E6" s="479" t="s">
        <v>257</v>
      </c>
      <c r="O6" s="2"/>
      <c r="Q6" s="2"/>
      <c r="R6" s="100" t="s">
        <v>97</v>
      </c>
      <c r="S6" s="10" t="s">
        <v>2</v>
      </c>
      <c r="T6" s="10" t="s">
        <v>3</v>
      </c>
      <c r="U6" s="10" t="s">
        <v>4</v>
      </c>
      <c r="V6" s="10" t="s">
        <v>0</v>
      </c>
      <c r="W6" s="2"/>
      <c r="X6" s="2"/>
      <c r="AD6" s="2"/>
      <c r="AE6" s="100" t="s">
        <v>98</v>
      </c>
      <c r="AF6" s="10" t="s">
        <v>2</v>
      </c>
      <c r="AG6" s="10" t="s">
        <v>3</v>
      </c>
      <c r="AH6" s="10" t="s">
        <v>4</v>
      </c>
      <c r="AI6" s="10" t="s">
        <v>0</v>
      </c>
      <c r="AJ6" s="374" t="s">
        <v>119</v>
      </c>
      <c r="AK6" s="67" t="s">
        <v>17</v>
      </c>
      <c r="AL6" s="67"/>
      <c r="AM6" s="359" t="s">
        <v>17</v>
      </c>
      <c r="AT6" s="2"/>
      <c r="AU6" s="2"/>
      <c r="AV6" s="2"/>
      <c r="AW6" s="2"/>
      <c r="AX6" s="2"/>
      <c r="AY6" s="2"/>
    </row>
    <row r="7" spans="14:51" ht="13.5" customHeight="1">
      <c r="N7" s="2"/>
      <c r="Q7" s="55"/>
      <c r="R7" s="10" t="s">
        <v>2</v>
      </c>
      <c r="S7" s="210"/>
      <c r="T7" s="211">
        <v>1</v>
      </c>
      <c r="U7" s="212">
        <v>1</v>
      </c>
      <c r="V7" s="213">
        <v>0</v>
      </c>
      <c r="W7" s="10" t="s">
        <v>2</v>
      </c>
      <c r="X7" s="55"/>
      <c r="AD7" s="2"/>
      <c r="AE7" s="10" t="s">
        <v>2</v>
      </c>
      <c r="AF7" s="460"/>
      <c r="AG7" s="201">
        <v>794.2843664315288</v>
      </c>
      <c r="AH7" s="202">
        <v>5800</v>
      </c>
      <c r="AI7" s="247">
        <v>8766</v>
      </c>
      <c r="AJ7" s="10" t="s">
        <v>2</v>
      </c>
      <c r="AK7" s="241">
        <f>X21+AK21</f>
        <v>-638024.7866375969</v>
      </c>
      <c r="AM7" s="424">
        <f>Utility!E28</f>
        <v>-643139.16478631</v>
      </c>
      <c r="AN7" s="181" t="s">
        <v>2</v>
      </c>
      <c r="AT7" s="2"/>
      <c r="AU7" s="2"/>
      <c r="AV7" s="2"/>
      <c r="AW7" s="2"/>
      <c r="AX7" s="2"/>
      <c r="AY7" s="2"/>
    </row>
    <row r="8" spans="15:51" ht="13.5" customHeight="1">
      <c r="O8" s="2"/>
      <c r="P8" s="2"/>
      <c r="Q8" s="214">
        <f>1-S8</f>
        <v>4</v>
      </c>
      <c r="R8" s="10" t="s">
        <v>3</v>
      </c>
      <c r="S8" s="215">
        <f>-SUM(T8:V8)</f>
        <v>-3</v>
      </c>
      <c r="T8" s="216">
        <f aca="true" t="shared" si="0" ref="T8:V10">SIGN(AG8)</f>
        <v>1</v>
      </c>
      <c r="U8" s="217">
        <f t="shared" si="0"/>
        <v>1</v>
      </c>
      <c r="V8" s="217">
        <f t="shared" si="0"/>
        <v>1</v>
      </c>
      <c r="W8" s="256" t="s">
        <v>3</v>
      </c>
      <c r="X8" s="70">
        <f>1/(1-S8)</f>
        <v>0.25</v>
      </c>
      <c r="AD8" s="422" t="s">
        <v>160</v>
      </c>
      <c r="AE8" s="10" t="s">
        <v>3</v>
      </c>
      <c r="AF8" s="248"/>
      <c r="AG8" s="205">
        <v>644.284366431529</v>
      </c>
      <c r="AH8" s="206">
        <v>5546.692237386904</v>
      </c>
      <c r="AI8" s="206">
        <v>29682.74915052081</v>
      </c>
      <c r="AJ8" s="256" t="s">
        <v>3</v>
      </c>
      <c r="AK8" s="76">
        <f>AG7</f>
        <v>794.2843664315288</v>
      </c>
      <c r="AM8" s="493">
        <f>Utility!M14</f>
        <v>794.2843664315288</v>
      </c>
      <c r="AN8" s="494" t="s">
        <v>3</v>
      </c>
      <c r="AT8" s="2"/>
      <c r="AU8" s="2"/>
      <c r="AV8" s="2"/>
      <c r="AW8" s="2"/>
      <c r="AX8" s="2"/>
      <c r="AY8" s="2"/>
    </row>
    <row r="9" spans="4:51" ht="13.5" customHeight="1">
      <c r="D9" s="42" t="s">
        <v>121</v>
      </c>
      <c r="E9" s="2"/>
      <c r="F9" s="327" t="s">
        <v>162</v>
      </c>
      <c r="H9" s="10" t="s">
        <v>2</v>
      </c>
      <c r="I9" s="10" t="s">
        <v>3</v>
      </c>
      <c r="J9" s="10" t="s">
        <v>4</v>
      </c>
      <c r="K9" s="10" t="s">
        <v>0</v>
      </c>
      <c r="M9" s="2"/>
      <c r="O9" s="2"/>
      <c r="P9" s="2"/>
      <c r="Q9" s="214">
        <f>1-S9</f>
        <v>4</v>
      </c>
      <c r="R9" s="10" t="s">
        <v>4</v>
      </c>
      <c r="S9" s="218">
        <f>-SUM(T9:V9)</f>
        <v>-3</v>
      </c>
      <c r="T9" s="219">
        <f t="shared" si="0"/>
        <v>1</v>
      </c>
      <c r="U9" s="220">
        <f t="shared" si="0"/>
        <v>1</v>
      </c>
      <c r="V9" s="221">
        <f t="shared" si="0"/>
        <v>1</v>
      </c>
      <c r="W9" s="256" t="s">
        <v>4</v>
      </c>
      <c r="X9" s="70">
        <f>1/(1-S9)</f>
        <v>0.25</v>
      </c>
      <c r="AD9" s="422" t="s">
        <v>161</v>
      </c>
      <c r="AE9" s="10" t="s">
        <v>4</v>
      </c>
      <c r="AF9" s="249"/>
      <c r="AG9" s="207">
        <v>572.4895161446304</v>
      </c>
      <c r="AH9" s="208">
        <v>4693.503722212354</v>
      </c>
      <c r="AI9" s="209">
        <v>25626.027581030758</v>
      </c>
      <c r="AJ9" s="256" t="s">
        <v>4</v>
      </c>
      <c r="AK9" s="76">
        <f>AH7</f>
        <v>5800</v>
      </c>
      <c r="AM9" s="493">
        <f>Utility!M30</f>
        <v>5693.503722212354</v>
      </c>
      <c r="AN9" s="494" t="s">
        <v>4</v>
      </c>
      <c r="AT9" s="2"/>
      <c r="AU9" s="2"/>
      <c r="AV9" s="2"/>
      <c r="AW9" s="2"/>
      <c r="AX9" s="2"/>
      <c r="AY9" s="2"/>
    </row>
    <row r="10" spans="4:51" ht="13.5" customHeight="1" thickBot="1">
      <c r="D10" s="29">
        <f>-F55</f>
        <v>-0.10480122962177707</v>
      </c>
      <c r="F10" s="29">
        <f>(1-1/F61)/Term1</f>
        <v>-0.15542413712088615</v>
      </c>
      <c r="H10" s="458">
        <f>V0</f>
        <v>1</v>
      </c>
      <c r="I10" s="231">
        <f>'Econ 0'!AB5</f>
        <v>0.1</v>
      </c>
      <c r="J10" s="232">
        <f>'Econ 0'!AC5</f>
        <v>0.3333333333333333</v>
      </c>
      <c r="K10" s="392">
        <f>'Econ 0'!AD5</f>
        <v>1</v>
      </c>
      <c r="M10" s="444" t="s">
        <v>211</v>
      </c>
      <c r="O10" s="2"/>
      <c r="P10" s="2"/>
      <c r="Q10" s="238">
        <f>V10-S10</f>
        <v>1</v>
      </c>
      <c r="R10" s="10" t="s">
        <v>0</v>
      </c>
      <c r="S10" s="222">
        <f>-SUM(T10:U10)</f>
        <v>-2</v>
      </c>
      <c r="T10" s="33">
        <f t="shared" si="0"/>
        <v>1</v>
      </c>
      <c r="U10" s="34">
        <f t="shared" si="0"/>
        <v>1</v>
      </c>
      <c r="V10" s="35">
        <f t="shared" si="0"/>
        <v>-1</v>
      </c>
      <c r="W10" s="10" t="s">
        <v>0</v>
      </c>
      <c r="X10" s="261">
        <f>1/(1-S10)</f>
        <v>0.3333333333333333</v>
      </c>
      <c r="AD10" s="422" t="s">
        <v>165</v>
      </c>
      <c r="AE10" s="10" t="s">
        <v>0</v>
      </c>
      <c r="AF10" s="99"/>
      <c r="AG10" s="31">
        <v>58.150744075318954</v>
      </c>
      <c r="AH10" s="32">
        <v>291.23687446415556</v>
      </c>
      <c r="AI10" s="180">
        <f>Zl_1</f>
        <v>-10281.808969986907</v>
      </c>
      <c r="AJ10" s="10" t="s">
        <v>0</v>
      </c>
      <c r="AK10" s="242">
        <f>K10*K51</f>
        <v>-10281.808969986907</v>
      </c>
      <c r="AL10" s="12" t="s">
        <v>90</v>
      </c>
      <c r="AM10" s="493">
        <f>Utility!M45</f>
        <v>-10219.742864345546</v>
      </c>
      <c r="AN10" s="181" t="s">
        <v>0</v>
      </c>
      <c r="AT10" s="2"/>
      <c r="AU10" s="2"/>
      <c r="AV10" s="2"/>
      <c r="AW10" s="2"/>
      <c r="AX10" s="2"/>
      <c r="AY10" s="2"/>
    </row>
    <row r="11" spans="4:51" ht="13.5" customHeight="1">
      <c r="D11" s="495">
        <f>IState!C13</f>
        <v>-0.1</v>
      </c>
      <c r="F11" s="495">
        <f>IState!E13</f>
        <v>-0.13553101428571446</v>
      </c>
      <c r="H11" s="12" t="s">
        <v>6</v>
      </c>
      <c r="O11" s="233"/>
      <c r="P11" s="233"/>
      <c r="Q11" s="42" t="s">
        <v>5</v>
      </c>
      <c r="R11" s="2"/>
      <c r="S11" s="42" t="s">
        <v>7</v>
      </c>
      <c r="T11" s="2"/>
      <c r="U11" s="2"/>
      <c r="V11" s="2"/>
      <c r="W11" s="2"/>
      <c r="X11" s="326" t="s">
        <v>137</v>
      </c>
      <c r="AE11" s="2"/>
      <c r="AF11" s="2"/>
      <c r="AG11" s="2"/>
      <c r="AH11" s="2"/>
      <c r="AI11" s="2"/>
      <c r="AJ11" s="2"/>
      <c r="AL11" s="2"/>
      <c r="AT11" s="2"/>
      <c r="AU11" s="2"/>
      <c r="AV11" s="2"/>
      <c r="AW11" s="2"/>
      <c r="AX11" s="2"/>
      <c r="AY11" s="2"/>
    </row>
    <row r="12" spans="46:51" ht="13.5" customHeight="1">
      <c r="AT12" s="2"/>
      <c r="AU12" s="2"/>
      <c r="AV12" s="2"/>
      <c r="AW12" s="2"/>
      <c r="AX12" s="2"/>
      <c r="AY12" s="2"/>
    </row>
    <row r="13" spans="15:51" ht="13.5" customHeight="1">
      <c r="O13" s="233"/>
      <c r="P13" s="233"/>
      <c r="AJ13" s="2"/>
      <c r="AK13" s="12"/>
      <c r="AL13" s="2"/>
      <c r="AT13" s="2"/>
      <c r="AU13" s="2"/>
      <c r="AV13" s="2"/>
      <c r="AW13" s="2"/>
      <c r="AX13" s="2"/>
      <c r="AY13" s="2"/>
    </row>
    <row r="14" spans="15:51" ht="13.5" customHeight="1">
      <c r="O14" s="233"/>
      <c r="P14" s="233"/>
      <c r="Q14" s="42"/>
      <c r="R14" s="2"/>
      <c r="S14" s="42"/>
      <c r="T14" s="2"/>
      <c r="U14" s="2"/>
      <c r="V14" s="2"/>
      <c r="AE14" s="355" t="s">
        <v>108</v>
      </c>
      <c r="AF14" s="2"/>
      <c r="AG14" s="2"/>
      <c r="AH14" s="2"/>
      <c r="AI14" s="2"/>
      <c r="AJ14" s="2"/>
      <c r="AK14" s="12"/>
      <c r="AL14" s="2"/>
      <c r="AT14" s="2"/>
      <c r="AU14" s="2"/>
      <c r="AV14" s="2"/>
      <c r="AW14" s="2"/>
      <c r="AX14" s="2"/>
      <c r="AY14" s="2"/>
    </row>
    <row r="15" spans="4:51" ht="13.5" customHeight="1" thickBot="1">
      <c r="D15" s="356">
        <f>-SUM(D21:D24)</f>
        <v>0</v>
      </c>
      <c r="F15" s="356">
        <f>-SUM(F21:F24)</f>
        <v>0</v>
      </c>
      <c r="H15" s="5">
        <f>-H19-SUM(H21:H24)</f>
        <v>3.721756236529927E-11</v>
      </c>
      <c r="I15" s="6">
        <f>-I19-SUM(I21:I24)</f>
        <v>-1.3500311979441904E-13</v>
      </c>
      <c r="J15" s="6">
        <f>-J19-SUM(J21:J24)</f>
        <v>1.2789769243681803E-13</v>
      </c>
      <c r="K15" s="312">
        <f>-K19-SUM(K21:K24)</f>
        <v>1.5631940186722204E-12</v>
      </c>
      <c r="M15" s="7" t="s">
        <v>191</v>
      </c>
      <c r="O15" s="233"/>
      <c r="P15" s="233"/>
      <c r="Q15" s="356">
        <f>-SUM(Q21:Q24)</f>
        <v>0</v>
      </c>
      <c r="S15" s="5">
        <f>-S19-SUM(S21:S24)</f>
        <v>3.721756236529927E-11</v>
      </c>
      <c r="T15" s="6">
        <f>-T19-SUM(T21:T24)</f>
        <v>-1.2656542480726785E-14</v>
      </c>
      <c r="U15" s="6">
        <f>-U19-SUM(U21:U24)</f>
        <v>9.947598300641403E-14</v>
      </c>
      <c r="V15" s="312">
        <f>-V19-SUM(V21:V24)</f>
        <v>1.5631940186722204E-12</v>
      </c>
      <c r="X15" s="469" t="s">
        <v>193</v>
      </c>
      <c r="AD15" s="313">
        <f>SUM(AD58:AD60)</f>
        <v>4933911.360217927</v>
      </c>
      <c r="AE15" s="318" t="s">
        <v>109</v>
      </c>
      <c r="AF15" s="406">
        <f>SUM(S58:S60)</f>
        <v>-1658329.2001102557</v>
      </c>
      <c r="AG15" s="6">
        <f>SUM(AG8:AG10)</f>
        <v>1274.9246266514783</v>
      </c>
      <c r="AH15" s="6">
        <f>SUM(AH8:AH10)</f>
        <v>10531.432834063413</v>
      </c>
      <c r="AI15" s="366">
        <f>SUM(AI8:AI9)</f>
        <v>55308.77673155157</v>
      </c>
      <c r="AJ15" s="2"/>
      <c r="AK15" s="12"/>
      <c r="AL15" s="2"/>
      <c r="AP15" s="2"/>
      <c r="AQ15" s="2"/>
      <c r="AR15" s="2"/>
      <c r="AS15" s="2"/>
      <c r="AT15" s="2"/>
      <c r="AU15" s="2"/>
      <c r="AV15" s="2"/>
      <c r="AW15" s="42"/>
      <c r="AX15" s="2"/>
      <c r="AY15" s="2"/>
    </row>
    <row r="16" spans="8:51" ht="13.5" customHeight="1">
      <c r="H16" s="10" t="s">
        <v>2</v>
      </c>
      <c r="I16" s="10">
        <v>1</v>
      </c>
      <c r="J16" s="10">
        <v>2</v>
      </c>
      <c r="K16" s="10" t="s">
        <v>0</v>
      </c>
      <c r="M16" s="7"/>
      <c r="O16" s="233"/>
      <c r="P16" s="233"/>
      <c r="Q16" s="478"/>
      <c r="S16" s="10">
        <v>0</v>
      </c>
      <c r="T16" s="10">
        <v>1</v>
      </c>
      <c r="U16" s="10">
        <v>2</v>
      </c>
      <c r="V16" s="10" t="s">
        <v>0</v>
      </c>
      <c r="X16" s="469"/>
      <c r="AD16" s="478"/>
      <c r="AE16" s="318"/>
      <c r="AF16" s="10">
        <v>0</v>
      </c>
      <c r="AG16" s="10">
        <v>1</v>
      </c>
      <c r="AH16" s="10">
        <v>2</v>
      </c>
      <c r="AI16" s="10" t="s">
        <v>0</v>
      </c>
      <c r="AJ16" s="2"/>
      <c r="AK16" s="12"/>
      <c r="AL16" s="2"/>
      <c r="AP16" s="2"/>
      <c r="AQ16" s="2"/>
      <c r="AR16" s="2"/>
      <c r="AS16" s="2"/>
      <c r="AT16" s="2"/>
      <c r="AU16" s="2"/>
      <c r="AV16" s="2"/>
      <c r="AW16" s="42"/>
      <c r="AX16" s="2"/>
      <c r="AY16" s="2"/>
    </row>
    <row r="17" spans="15:51" ht="13.5" customHeight="1">
      <c r="O17" s="233"/>
      <c r="P17" s="233"/>
      <c r="R17" s="2"/>
      <c r="W17" s="2"/>
      <c r="X17" s="2"/>
      <c r="AJ17" s="2"/>
      <c r="AK17" s="12"/>
      <c r="AL17" s="2"/>
      <c r="AP17" s="2"/>
      <c r="AQ17" s="2"/>
      <c r="AR17" s="2"/>
      <c r="AS17" s="2"/>
      <c r="AT17" s="2"/>
      <c r="AU17" s="2"/>
      <c r="AV17" s="2"/>
      <c r="AW17" s="42"/>
      <c r="AX17" s="2"/>
      <c r="AY17" s="2"/>
    </row>
    <row r="18" spans="3:51" ht="13.5" customHeight="1">
      <c r="C18" s="2"/>
      <c r="H18" s="240"/>
      <c r="N18" s="2"/>
      <c r="O18" s="2"/>
      <c r="P18" s="2"/>
      <c r="R18" s="2"/>
      <c r="S18" s="2"/>
      <c r="T18" s="2"/>
      <c r="U18" s="2"/>
      <c r="V18" s="2"/>
      <c r="W18" s="2"/>
      <c r="X18" s="2"/>
      <c r="Y18" s="2"/>
      <c r="AA18" s="2"/>
      <c r="AJ18" s="2"/>
      <c r="AL18" s="2"/>
      <c r="AN18" s="2"/>
      <c r="AO18" s="2"/>
      <c r="AP18" s="2"/>
      <c r="AQ18" s="2"/>
      <c r="AR18" s="2"/>
      <c r="AS18" s="2"/>
      <c r="AT18" s="2"/>
      <c r="AU18" s="2"/>
      <c r="AV18" s="2"/>
      <c r="AW18" s="42"/>
      <c r="AX18" s="2"/>
      <c r="AY18" s="2"/>
    </row>
    <row r="19" spans="8:51" ht="13.5" customHeight="1" thickBot="1">
      <c r="H19" s="459">
        <f>H27+H35+H43</f>
        <v>1.8016849476253618</v>
      </c>
      <c r="I19" s="6">
        <f>I27+I35+I43</f>
        <v>-14.543368796080621</v>
      </c>
      <c r="J19" s="6">
        <f>J27+J35+J43</f>
        <v>88.83799485358223</v>
      </c>
      <c r="K19" s="312">
        <f>K27+K35+K43</f>
        <v>-94.29386832879365</v>
      </c>
      <c r="M19" s="2"/>
      <c r="N19" s="2"/>
      <c r="O19" s="2"/>
      <c r="P19" s="2"/>
      <c r="Q19" s="2"/>
      <c r="R19" s="2"/>
      <c r="S19" s="459">
        <f>H$10*H19</f>
        <v>1.8016849476253618</v>
      </c>
      <c r="T19" s="6">
        <f>I$10*I19</f>
        <v>-1.4543368796080622</v>
      </c>
      <c r="U19" s="6">
        <f>J$10*J19</f>
        <v>29.612664951194077</v>
      </c>
      <c r="V19" s="312">
        <f>K$10*K19</f>
        <v>-94.29386832879365</v>
      </c>
      <c r="W19" s="2"/>
      <c r="X19" s="2"/>
      <c r="Y19" s="2"/>
      <c r="Z19" s="2"/>
      <c r="AA19" s="2"/>
      <c r="AD19" s="2"/>
      <c r="AE19" s="2"/>
      <c r="AF19" s="406">
        <f>S19+S55</f>
        <v>2296382.4222691767</v>
      </c>
      <c r="AG19" s="6">
        <f>AG5+T19</f>
        <v>-2070.6633299626155</v>
      </c>
      <c r="AH19" s="6">
        <f>AH5+U19</f>
        <v>-16301.82016911222</v>
      </c>
      <c r="AI19" s="312">
        <f>AI5+V19</f>
        <v>-53887.26162989345</v>
      </c>
      <c r="AJ19" s="2"/>
      <c r="AK19" s="2"/>
      <c r="AL19" s="2"/>
      <c r="AM19" s="419"/>
      <c r="AN19" s="2"/>
      <c r="AO19" s="2"/>
      <c r="AP19" s="2"/>
      <c r="AQ19" s="2"/>
      <c r="AR19" s="2"/>
      <c r="AS19" s="2"/>
      <c r="AT19" s="2"/>
      <c r="AU19" s="2"/>
      <c r="AV19" s="2"/>
      <c r="AW19" s="42"/>
      <c r="AX19" s="2"/>
      <c r="AY19" s="2"/>
    </row>
    <row r="20" spans="3:51" ht="13.5" customHeight="1">
      <c r="C20" s="2"/>
      <c r="D20" s="11" t="s">
        <v>136</v>
      </c>
      <c r="F20" s="11" t="s">
        <v>122</v>
      </c>
      <c r="H20" s="10" t="s">
        <v>2</v>
      </c>
      <c r="I20" s="10">
        <v>1</v>
      </c>
      <c r="J20" s="10">
        <v>2</v>
      </c>
      <c r="K20" s="10" t="s">
        <v>0</v>
      </c>
      <c r="M20" s="2"/>
      <c r="N20" s="2"/>
      <c r="O20" s="2"/>
      <c r="P20" s="2"/>
      <c r="Q20" s="50" t="s">
        <v>10</v>
      </c>
      <c r="R20" s="100" t="s">
        <v>99</v>
      </c>
      <c r="S20" s="10" t="s">
        <v>2</v>
      </c>
      <c r="T20" s="10" t="s">
        <v>3</v>
      </c>
      <c r="U20" s="10" t="s">
        <v>4</v>
      </c>
      <c r="V20" s="10" t="s">
        <v>0</v>
      </c>
      <c r="W20" s="2"/>
      <c r="X20" s="67" t="s">
        <v>19</v>
      </c>
      <c r="Y20" s="2"/>
      <c r="Z20" s="2"/>
      <c r="AA20" s="2"/>
      <c r="AD20" s="11" t="s">
        <v>24</v>
      </c>
      <c r="AE20" s="42" t="s">
        <v>107</v>
      </c>
      <c r="AF20" s="10" t="s">
        <v>2</v>
      </c>
      <c r="AG20" s="10" t="s">
        <v>3</v>
      </c>
      <c r="AH20" s="10">
        <v>2</v>
      </c>
      <c r="AI20" s="10" t="s">
        <v>0</v>
      </c>
      <c r="AJ20" s="2"/>
      <c r="AK20" s="267" t="s">
        <v>18</v>
      </c>
      <c r="AL20" s="40"/>
      <c r="AM20" s="489" t="s">
        <v>209</v>
      </c>
      <c r="AN20" s="40"/>
      <c r="AO20" s="40"/>
      <c r="AP20" s="40"/>
      <c r="AQ20" s="40"/>
      <c r="AR20" s="40"/>
      <c r="AS20" s="40"/>
      <c r="AT20" s="40"/>
      <c r="AU20" s="40"/>
      <c r="AV20" s="40"/>
      <c r="AW20" s="40"/>
      <c r="AX20" s="40"/>
      <c r="AY20" s="40"/>
    </row>
    <row r="21" spans="3:51" ht="13.5" customHeight="1">
      <c r="C21" s="10" t="s">
        <v>2</v>
      </c>
      <c r="D21" s="234">
        <f>-SUM(D22:D24)</f>
        <v>-169765.42683069827</v>
      </c>
      <c r="E21" s="2"/>
      <c r="F21" s="234">
        <f>-SUM(F22:F24)</f>
        <v>114471.44445321894</v>
      </c>
      <c r="G21" s="10" t="s">
        <v>2</v>
      </c>
      <c r="H21" s="17">
        <f aca="true" t="shared" si="1" ref="H21:K24">H29+H37+H45</f>
        <v>106525.1443328184</v>
      </c>
      <c r="I21" s="56">
        <f t="shared" si="1"/>
        <v>-1003.1880037087424</v>
      </c>
      <c r="J21" s="57">
        <f t="shared" si="1"/>
        <v>-2476.778346803238</v>
      </c>
      <c r="K21" s="57">
        <f t="shared" si="1"/>
        <v>-8766</v>
      </c>
      <c r="L21" s="10" t="s">
        <v>2</v>
      </c>
      <c r="M21" s="2"/>
      <c r="N21" s="2"/>
      <c r="O21" s="2"/>
      <c r="P21" s="2"/>
      <c r="Q21" s="418">
        <f>Nu_1*D21+F$10*F21</f>
        <v>0</v>
      </c>
      <c r="R21" s="10" t="s">
        <v>2</v>
      </c>
      <c r="S21" s="460">
        <f aca="true" t="shared" si="2" ref="S21:V24">H$10*H21</f>
        <v>106525.1443328184</v>
      </c>
      <c r="T21" s="56">
        <f t="shared" si="2"/>
        <v>-100.31880037087424</v>
      </c>
      <c r="U21" s="57">
        <f t="shared" si="2"/>
        <v>-825.592782267746</v>
      </c>
      <c r="V21" s="57">
        <f t="shared" si="2"/>
        <v>-8766</v>
      </c>
      <c r="W21" s="10" t="s">
        <v>2</v>
      </c>
      <c r="X21" s="241">
        <f>S47</f>
        <v>-106523.50785750676</v>
      </c>
      <c r="Z21" s="558">
        <f>-GPE!E10</f>
        <v>-104588.82611424987</v>
      </c>
      <c r="AA21" s="2"/>
      <c r="AD21" s="54">
        <f>AD57+Q21</f>
        <v>-4933911.360217927</v>
      </c>
      <c r="AE21" s="10" t="s">
        <v>2</v>
      </c>
      <c r="AF21" s="69">
        <f>AK21</f>
        <v>-531501.2787800902</v>
      </c>
      <c r="AG21" s="244">
        <f>AK22</f>
        <v>693.9520309183315</v>
      </c>
      <c r="AH21" s="245">
        <f>AK23</f>
        <v>4974.384546481329</v>
      </c>
      <c r="AI21" s="57">
        <f>AI7+V21</f>
        <v>0</v>
      </c>
      <c r="AJ21" s="10" t="s">
        <v>2</v>
      </c>
      <c r="AK21" s="241">
        <f>-T51*AK22-U51*AK23-V51*AK24</f>
        <v>-531501.2787800902</v>
      </c>
      <c r="AL21" s="2"/>
      <c r="AM21" s="381"/>
      <c r="AN21" s="181" t="s">
        <v>2</v>
      </c>
      <c r="AT21" s="2"/>
      <c r="AU21" s="2"/>
      <c r="AV21" s="2"/>
      <c r="AW21" s="2"/>
      <c r="AX21" s="2"/>
      <c r="AY21" s="2"/>
    </row>
    <row r="22" spans="2:51" ht="13.5" customHeight="1">
      <c r="B22" s="448" t="s">
        <v>196</v>
      </c>
      <c r="C22" s="10" t="s">
        <v>3</v>
      </c>
      <c r="D22" s="74">
        <f>D30</f>
        <v>81457.86279543987</v>
      </c>
      <c r="F22" s="74"/>
      <c r="G22" s="10" t="s">
        <v>3</v>
      </c>
      <c r="H22" s="461">
        <f t="shared" si="1"/>
        <v>-39723.96946080851</v>
      </c>
      <c r="I22" s="194">
        <f t="shared" si="1"/>
        <v>496.0844218972739</v>
      </c>
      <c r="J22" s="195">
        <f t="shared" si="1"/>
        <v>488.6689752734716</v>
      </c>
      <c r="K22" s="195">
        <f t="shared" si="1"/>
        <v>962.676283206961</v>
      </c>
      <c r="L22" s="256" t="s">
        <v>3</v>
      </c>
      <c r="M22" s="397" t="s">
        <v>149</v>
      </c>
      <c r="N22" s="7"/>
      <c r="O22" s="7"/>
      <c r="P22" s="403" t="s">
        <v>120</v>
      </c>
      <c r="Q22" s="417">
        <f>Nu_1*D22+F$10*F22</f>
        <v>-8536.884183324106</v>
      </c>
      <c r="R22" s="10" t="s">
        <v>3</v>
      </c>
      <c r="S22" s="461">
        <f t="shared" si="2"/>
        <v>-39723.96946080851</v>
      </c>
      <c r="T22" s="194">
        <f t="shared" si="2"/>
        <v>49.60844218972739</v>
      </c>
      <c r="U22" s="195">
        <f t="shared" si="2"/>
        <v>162.8896584244905</v>
      </c>
      <c r="V22" s="195">
        <f t="shared" si="2"/>
        <v>962.676283206961</v>
      </c>
      <c r="W22" s="256" t="s">
        <v>3</v>
      </c>
      <c r="X22" s="76">
        <f>AK8-AK22</f>
        <v>100.33233551319734</v>
      </c>
      <c r="Y22" s="383" t="s">
        <v>256</v>
      </c>
      <c r="AA22" s="7"/>
      <c r="AD22" s="74">
        <f>AD58+Q22</f>
        <v>2597617.938221182</v>
      </c>
      <c r="AE22" s="10" t="s">
        <v>3</v>
      </c>
      <c r="AF22" s="393">
        <f>S22+S58</f>
        <v>-906739.8362281974</v>
      </c>
      <c r="AG22" s="194">
        <f aca="true" t="shared" si="3" ref="AG22:AH24">AG8+T22</f>
        <v>693.8928086212563</v>
      </c>
      <c r="AH22" s="195">
        <f t="shared" si="3"/>
        <v>5709.581895811394</v>
      </c>
      <c r="AI22" s="195">
        <f>AI8+V22</f>
        <v>30645.42543372777</v>
      </c>
      <c r="AJ22" s="256" t="s">
        <v>3</v>
      </c>
      <c r="AK22" s="76">
        <f>AK8*X30</f>
        <v>693.9520309183315</v>
      </c>
      <c r="AL22" s="2"/>
      <c r="AM22" s="493">
        <f>AD22/Q8</f>
        <v>649404.4845552956</v>
      </c>
      <c r="AN22" s="494" t="s">
        <v>3</v>
      </c>
      <c r="AT22" s="2"/>
      <c r="AU22" s="2"/>
      <c r="AV22" s="2"/>
      <c r="AW22" s="2"/>
      <c r="AX22" s="2"/>
      <c r="AY22" s="2"/>
    </row>
    <row r="23" spans="2:51" ht="13.5" customHeight="1">
      <c r="B23" s="470" t="s">
        <v>197</v>
      </c>
      <c r="C23" s="10" t="s">
        <v>4</v>
      </c>
      <c r="D23" s="74">
        <f>D31</f>
        <v>88307.56403525839</v>
      </c>
      <c r="F23" s="74"/>
      <c r="G23" s="10" t="s">
        <v>4</v>
      </c>
      <c r="H23" s="462">
        <f t="shared" si="1"/>
        <v>-39392.102071708636</v>
      </c>
      <c r="I23" s="197">
        <f t="shared" si="1"/>
        <v>320.5709694407234</v>
      </c>
      <c r="J23" s="101">
        <f t="shared" si="1"/>
        <v>841.8898343618746</v>
      </c>
      <c r="K23" s="198">
        <f t="shared" si="1"/>
        <v>1072.5047368017272</v>
      </c>
      <c r="L23" s="256" t="s">
        <v>4</v>
      </c>
      <c r="M23" s="400" t="s">
        <v>147</v>
      </c>
      <c r="N23" s="2"/>
      <c r="O23" s="7"/>
      <c r="Q23" s="417">
        <f>Nu_1*D23+F$10*F23</f>
        <v>-9254.741295798896</v>
      </c>
      <c r="R23" s="10" t="s">
        <v>4</v>
      </c>
      <c r="S23" s="462">
        <f t="shared" si="2"/>
        <v>-39392.102071708636</v>
      </c>
      <c r="T23" s="197">
        <f t="shared" si="2"/>
        <v>32.05709694407234</v>
      </c>
      <c r="U23" s="101">
        <f t="shared" si="2"/>
        <v>280.6299447872915</v>
      </c>
      <c r="V23" s="198">
        <f t="shared" si="2"/>
        <v>1072.5047368017272</v>
      </c>
      <c r="W23" s="256" t="s">
        <v>4</v>
      </c>
      <c r="X23" s="76">
        <f>AK9-AK23</f>
        <v>825.6154535186706</v>
      </c>
      <c r="AB23" s="437" t="s">
        <v>181</v>
      </c>
      <c r="AC23" s="433" t="s">
        <v>178</v>
      </c>
      <c r="AD23" s="74">
        <f>AD59+Q23</f>
        <v>2263078.4932737574</v>
      </c>
      <c r="AE23" s="10" t="s">
        <v>4</v>
      </c>
      <c r="AF23" s="405">
        <f>S23+S59</f>
        <v>-789959.5865485016</v>
      </c>
      <c r="AG23" s="197">
        <f t="shared" si="3"/>
        <v>604.5466130887028</v>
      </c>
      <c r="AH23" s="101">
        <f t="shared" si="3"/>
        <v>4974.133666999645</v>
      </c>
      <c r="AI23" s="198">
        <f>AI9+V23</f>
        <v>26698.532317832483</v>
      </c>
      <c r="AJ23" s="256" t="s">
        <v>4</v>
      </c>
      <c r="AK23" s="76">
        <f>AK9*X31</f>
        <v>4974.384546481329</v>
      </c>
      <c r="AL23" s="2"/>
      <c r="AM23" s="493">
        <f>AD23/Q9</f>
        <v>565769.6233184393</v>
      </c>
      <c r="AN23" s="494" t="s">
        <v>4</v>
      </c>
      <c r="AT23" s="2"/>
      <c r="AU23" s="2"/>
      <c r="AV23" s="2"/>
      <c r="AW23" s="2"/>
      <c r="AX23" s="2"/>
      <c r="AY23" s="2"/>
    </row>
    <row r="24" spans="3:51" ht="13.5" customHeight="1" thickBot="1">
      <c r="C24" s="10" t="s">
        <v>0</v>
      </c>
      <c r="D24" s="237"/>
      <c r="F24" s="237">
        <f>F32+F40+F48</f>
        <v>-114471.44445321894</v>
      </c>
      <c r="G24" s="10" t="s">
        <v>0</v>
      </c>
      <c r="H24" s="463">
        <f t="shared" si="1"/>
        <v>-27410.87448524891</v>
      </c>
      <c r="I24" s="37">
        <f t="shared" si="1"/>
        <v>201.07598116682584</v>
      </c>
      <c r="J24" s="38">
        <f t="shared" si="1"/>
        <v>1057.3815423143096</v>
      </c>
      <c r="K24" s="39">
        <f t="shared" si="1"/>
        <v>6825.112848320105</v>
      </c>
      <c r="L24" s="10" t="s">
        <v>0</v>
      </c>
      <c r="M24" s="2"/>
      <c r="N24" s="2"/>
      <c r="O24" s="7"/>
      <c r="P24" s="2"/>
      <c r="Q24" s="346">
        <f>Nu_1*D24+F$10*F24</f>
        <v>17791.625479123002</v>
      </c>
      <c r="R24" s="10" t="s">
        <v>0</v>
      </c>
      <c r="S24" s="463">
        <f t="shared" si="2"/>
        <v>-27410.87448524891</v>
      </c>
      <c r="T24" s="37">
        <f t="shared" si="2"/>
        <v>20.107598116682585</v>
      </c>
      <c r="U24" s="38">
        <f t="shared" si="2"/>
        <v>352.46051410476986</v>
      </c>
      <c r="V24" s="39">
        <f t="shared" si="2"/>
        <v>6825.112848320105</v>
      </c>
      <c r="W24" s="10" t="s">
        <v>0</v>
      </c>
      <c r="X24" s="269">
        <f>AK10-AK24</f>
        <v>-6825.132148398988</v>
      </c>
      <c r="Y24" s="416" t="s">
        <v>182</v>
      </c>
      <c r="Z24" s="7" t="s">
        <v>255</v>
      </c>
      <c r="AD24" s="237">
        <f>AD60+Q24</f>
        <v>73214.92872298704</v>
      </c>
      <c r="AE24" s="10" t="s">
        <v>0</v>
      </c>
      <c r="AF24" s="298">
        <f>S24+S60</f>
        <v>-68156.72335132273</v>
      </c>
      <c r="AG24" s="37">
        <f t="shared" si="3"/>
        <v>78.25834219200154</v>
      </c>
      <c r="AH24" s="38">
        <f t="shared" si="3"/>
        <v>643.6973885689254</v>
      </c>
      <c r="AI24" s="265">
        <f>AK24</f>
        <v>-3456.676821587919</v>
      </c>
      <c r="AJ24" s="10" t="s">
        <v>0</v>
      </c>
      <c r="AK24" s="269">
        <f>AK10*X32</f>
        <v>-3456.676821587919</v>
      </c>
      <c r="AL24" s="2"/>
      <c r="AM24" s="493">
        <f>AD24/Q10</f>
        <v>73214.92872298704</v>
      </c>
      <c r="AN24" s="181" t="s">
        <v>0</v>
      </c>
      <c r="AO24" s="2"/>
      <c r="AP24" s="2"/>
      <c r="AQ24" s="2"/>
      <c r="AR24" s="2"/>
      <c r="AS24" s="2"/>
      <c r="AT24" s="2"/>
      <c r="AU24" s="2"/>
      <c r="AV24" s="2"/>
      <c r="AW24" s="2"/>
      <c r="AX24" s="2"/>
      <c r="AY24" s="2"/>
    </row>
    <row r="25" spans="4:51" ht="13.5" customHeight="1">
      <c r="D25" s="240" t="s">
        <v>95</v>
      </c>
      <c r="F25" s="408" t="s">
        <v>141</v>
      </c>
      <c r="G25" s="2"/>
      <c r="H25" s="2"/>
      <c r="I25" s="2"/>
      <c r="J25" s="2"/>
      <c r="K25" s="2"/>
      <c r="L25" s="2"/>
      <c r="M25" s="2"/>
      <c r="N25" s="2"/>
      <c r="O25" s="2"/>
      <c r="P25" s="2"/>
      <c r="Q25" s="2"/>
      <c r="R25" s="2"/>
      <c r="S25" s="2"/>
      <c r="T25" s="2"/>
      <c r="U25" s="2"/>
      <c r="V25" s="2"/>
      <c r="W25" s="2"/>
      <c r="AA25" s="7"/>
      <c r="AL25" s="2"/>
      <c r="AS25" s="2"/>
      <c r="AT25" s="2"/>
      <c r="AU25" s="2"/>
      <c r="AV25" s="2"/>
      <c r="AW25" s="2"/>
      <c r="AX25" s="2"/>
      <c r="AY25" s="2"/>
    </row>
    <row r="26" spans="8:51" ht="13.5" customHeight="1">
      <c r="H26" s="280"/>
      <c r="M26" s="2"/>
      <c r="N26" s="2"/>
      <c r="O26" s="2"/>
      <c r="P26" s="2"/>
      <c r="AL26" s="2"/>
      <c r="AT26" s="2"/>
      <c r="AU26" s="2"/>
      <c r="AV26" s="2"/>
      <c r="AW26" s="2"/>
      <c r="AX26" s="2"/>
      <c r="AY26" s="2"/>
    </row>
    <row r="27" spans="4:51" ht="13.5" customHeight="1" thickBot="1">
      <c r="D27" s="2"/>
      <c r="F27" s="2"/>
      <c r="H27" s="43">
        <v>0.5876765160093471</v>
      </c>
      <c r="I27" s="44">
        <v>-4.873208360929748</v>
      </c>
      <c r="J27" s="44">
        <v>29.607047974517627</v>
      </c>
      <c r="K27" s="387">
        <v>-31.419401070633793</v>
      </c>
      <c r="L27" s="2"/>
      <c r="N27" s="2"/>
      <c r="Q27" s="2"/>
      <c r="R27" s="2"/>
      <c r="S27" s="2"/>
      <c r="T27" s="412" t="s">
        <v>123</v>
      </c>
      <c r="U27" s="412"/>
      <c r="V27" s="2"/>
      <c r="W27" s="2"/>
      <c r="Y27" s="2"/>
      <c r="Z27" s="2"/>
      <c r="AA27" s="2"/>
      <c r="AJ27" s="2"/>
      <c r="AK27" s="2"/>
      <c r="AL27" s="2"/>
      <c r="AN27" s="2"/>
      <c r="AT27" s="2"/>
      <c r="AU27" s="2"/>
      <c r="AV27" s="2"/>
      <c r="AW27" s="2"/>
      <c r="AX27" s="2"/>
      <c r="AY27" s="2"/>
    </row>
    <row r="28" spans="3:51" ht="13.5" customHeight="1">
      <c r="C28" s="233"/>
      <c r="D28" s="2"/>
      <c r="G28" s="100" t="s">
        <v>93</v>
      </c>
      <c r="H28" s="10">
        <v>0</v>
      </c>
      <c r="I28" s="10">
        <v>1</v>
      </c>
      <c r="J28" s="10">
        <v>2</v>
      </c>
      <c r="K28" s="10" t="s">
        <v>0</v>
      </c>
      <c r="L28" s="2"/>
      <c r="M28" s="2"/>
      <c r="N28" s="7"/>
      <c r="Q28" s="42" t="s">
        <v>14</v>
      </c>
      <c r="R28" s="315" t="s">
        <v>106</v>
      </c>
      <c r="S28" s="256" t="s">
        <v>2</v>
      </c>
      <c r="T28" s="256" t="s">
        <v>3</v>
      </c>
      <c r="U28" s="256" t="s">
        <v>4</v>
      </c>
      <c r="V28" s="256" t="s">
        <v>0</v>
      </c>
      <c r="W28" s="2"/>
      <c r="X28" s="267" t="s">
        <v>92</v>
      </c>
      <c r="Y28" s="2"/>
      <c r="Z28" s="2"/>
      <c r="AA28" s="2"/>
      <c r="AD28" s="50" t="s">
        <v>158</v>
      </c>
      <c r="AE28" s="2"/>
      <c r="AF28" s="423" t="s">
        <v>166</v>
      </c>
      <c r="AK28" s="11" t="s">
        <v>210</v>
      </c>
      <c r="AL28" s="2"/>
      <c r="AM28" s="427" t="s">
        <v>213</v>
      </c>
      <c r="AN28" s="482"/>
      <c r="AT28" s="2"/>
      <c r="AU28" s="2"/>
      <c r="AV28" s="2"/>
      <c r="AW28" s="2"/>
      <c r="AX28" s="2"/>
      <c r="AY28" s="2"/>
    </row>
    <row r="29" spans="3:51" ht="13.5" customHeight="1">
      <c r="C29" s="10" t="s">
        <v>2</v>
      </c>
      <c r="D29" s="177">
        <v>0</v>
      </c>
      <c r="F29" s="573">
        <v>0</v>
      </c>
      <c r="G29" s="414" t="s">
        <v>2</v>
      </c>
      <c r="H29" s="464">
        <v>35508.10439516515</v>
      </c>
      <c r="I29" s="52">
        <v>-334.4245802064397</v>
      </c>
      <c r="J29" s="53">
        <v>-825.6046981760702</v>
      </c>
      <c r="K29" s="53">
        <v>-2922</v>
      </c>
      <c r="L29" s="10" t="s">
        <v>2</v>
      </c>
      <c r="M29" s="2"/>
      <c r="N29" s="7"/>
      <c r="Q29" s="68"/>
      <c r="R29" s="10" t="s">
        <v>2</v>
      </c>
      <c r="S29" s="321">
        <f>-X21/AK21</f>
        <v>-0.20042004057262316</v>
      </c>
      <c r="T29" s="567">
        <f>-X22/AG21</f>
        <v>-0.14458108203880313</v>
      </c>
      <c r="U29" s="568">
        <f>-X23/AH21</f>
        <v>-0.16597338742190254</v>
      </c>
      <c r="V29" s="179"/>
      <c r="W29" s="10" t="s">
        <v>2</v>
      </c>
      <c r="X29" s="68">
        <f>AK21/AK7</f>
        <v>0.8330417405585641</v>
      </c>
      <c r="Y29" s="2"/>
      <c r="Z29" s="2"/>
      <c r="AA29" s="2"/>
      <c r="AD29" s="54"/>
      <c r="AE29" s="10" t="s">
        <v>2</v>
      </c>
      <c r="AF29" s="17"/>
      <c r="AJ29" s="10" t="s">
        <v>2</v>
      </c>
      <c r="AK29" s="54"/>
      <c r="AL29" s="2"/>
      <c r="AM29" s="381"/>
      <c r="AN29" s="181" t="s">
        <v>2</v>
      </c>
      <c r="AT29" s="2"/>
      <c r="AU29" s="267"/>
      <c r="AV29" s="2"/>
      <c r="AW29" s="2"/>
      <c r="AX29" s="2"/>
      <c r="AY29" s="2"/>
    </row>
    <row r="30" spans="3:51" ht="13.5" customHeight="1">
      <c r="C30" s="10" t="s">
        <v>3</v>
      </c>
      <c r="D30" s="223">
        <v>81457.86279543987</v>
      </c>
      <c r="F30" s="223"/>
      <c r="G30" s="414" t="s">
        <v>3</v>
      </c>
      <c r="H30" s="465">
        <v>-13241.174978473495</v>
      </c>
      <c r="I30" s="60">
        <v>165.4015845371199</v>
      </c>
      <c r="J30" s="61">
        <v>162.88666872651376</v>
      </c>
      <c r="K30" s="61">
        <v>320.88295168433604</v>
      </c>
      <c r="L30" s="256" t="s">
        <v>3</v>
      </c>
      <c r="M30" s="2"/>
      <c r="N30" s="7"/>
      <c r="O30" s="432" t="s">
        <v>176</v>
      </c>
      <c r="P30" s="433" t="s">
        <v>178</v>
      </c>
      <c r="Q30" s="70">
        <f>T29-S30</f>
        <v>-0.013145583557640284</v>
      </c>
      <c r="R30" s="256" t="s">
        <v>3</v>
      </c>
      <c r="S30" s="71">
        <f>-SUM(T30:V30)</f>
        <v>-0.13143549848116284</v>
      </c>
      <c r="T30" s="72">
        <f aca="true" t="shared" si="4" ref="T30:V31">T22/AG22</f>
        <v>0.07149294757543004</v>
      </c>
      <c r="U30" s="73">
        <f t="shared" si="4"/>
        <v>0.028529174534476506</v>
      </c>
      <c r="V30" s="73">
        <f t="shared" si="4"/>
        <v>0.0314133763712563</v>
      </c>
      <c r="W30" s="256" t="s">
        <v>3</v>
      </c>
      <c r="X30" s="70">
        <f>(1-T30)*(1-U30)*(1-V30)</f>
        <v>0.873682097050507</v>
      </c>
      <c r="AD30" s="74">
        <f>Q22/Q30</f>
        <v>649410.8189181471</v>
      </c>
      <c r="AE30" s="10" t="s">
        <v>3</v>
      </c>
      <c r="AF30" s="510">
        <f>S22/S30</f>
        <v>302231.6643513297</v>
      </c>
      <c r="AJ30" s="256" t="s">
        <v>3</v>
      </c>
      <c r="AK30" s="74">
        <f>AK46*AK22</f>
        <v>649424.7489950445</v>
      </c>
      <c r="AL30" s="2"/>
      <c r="AM30" s="493">
        <f>P0_1*AF30</f>
        <v>649362.8402861282</v>
      </c>
      <c r="AN30" s="494" t="s">
        <v>3</v>
      </c>
      <c r="AV30" s="2"/>
      <c r="AW30" s="2"/>
      <c r="AX30" s="2"/>
      <c r="AY30" s="2"/>
    </row>
    <row r="31" spans="3:51" ht="13.5" customHeight="1">
      <c r="C31" s="10" t="s">
        <v>4</v>
      </c>
      <c r="D31" s="223">
        <v>88307.56403525839</v>
      </c>
      <c r="F31" s="223"/>
      <c r="G31" s="414" t="s">
        <v>4</v>
      </c>
      <c r="H31" s="466">
        <v>-13130.598311157262</v>
      </c>
      <c r="I31" s="224">
        <v>106.87377881627214</v>
      </c>
      <c r="J31" s="225">
        <v>280.6381136825875</v>
      </c>
      <c r="K31" s="226">
        <v>357.4955566927143</v>
      </c>
      <c r="L31" s="256" t="s">
        <v>4</v>
      </c>
      <c r="M31" s="2"/>
      <c r="N31" s="2"/>
      <c r="O31" s="434" t="s">
        <v>177</v>
      </c>
      <c r="P31" s="2"/>
      <c r="Q31" s="70">
        <f>U29-S31</f>
        <v>-0.016357933682116105</v>
      </c>
      <c r="R31" s="256" t="s">
        <v>4</v>
      </c>
      <c r="S31" s="257">
        <f>-SUM(T31:V31)</f>
        <v>-0.14961545373978644</v>
      </c>
      <c r="T31" s="258">
        <f t="shared" si="4"/>
        <v>0.05302667528032074</v>
      </c>
      <c r="U31" s="259">
        <f t="shared" si="4"/>
        <v>0.056417853554901566</v>
      </c>
      <c r="V31" s="260">
        <f t="shared" si="4"/>
        <v>0.04017092490456413</v>
      </c>
      <c r="W31" s="256" t="s">
        <v>4</v>
      </c>
      <c r="X31" s="70">
        <f>(1-T31)*(1-U31)*(1-V31)</f>
        <v>0.8576525080140224</v>
      </c>
      <c r="AD31" s="74">
        <f>Q23/Q31</f>
        <v>565764.6910451149</v>
      </c>
      <c r="AE31" s="10" t="s">
        <v>4</v>
      </c>
      <c r="AF31" s="510">
        <f>S23/S31</f>
        <v>263288.99246076547</v>
      </c>
      <c r="AJ31" s="256" t="s">
        <v>4</v>
      </c>
      <c r="AK31" s="74">
        <f>AK47*AK23</f>
        <v>565788.231544767</v>
      </c>
      <c r="AL31" s="2"/>
      <c r="AM31" s="493">
        <f>P0_1*AF31</f>
        <v>565692.1763222374</v>
      </c>
      <c r="AN31" s="494" t="s">
        <v>4</v>
      </c>
      <c r="AV31" s="2"/>
      <c r="AW31" s="2"/>
      <c r="AX31" s="2"/>
      <c r="AY31" s="2"/>
    </row>
    <row r="32" spans="3:51" ht="13.5" customHeight="1" thickBot="1">
      <c r="C32" s="10" t="s">
        <v>0</v>
      </c>
      <c r="D32" s="235"/>
      <c r="F32" s="235">
        <v>-38171.31003879051</v>
      </c>
      <c r="G32" s="414" t="s">
        <v>0</v>
      </c>
      <c r="H32" s="467">
        <v>-9136.91878205042</v>
      </c>
      <c r="I32" s="227">
        <v>67.02242521397767</v>
      </c>
      <c r="J32" s="228">
        <v>352.4728677924509</v>
      </c>
      <c r="K32" s="229">
        <v>2275.040892693584</v>
      </c>
      <c r="L32" s="10" t="s">
        <v>0</v>
      </c>
      <c r="M32" s="2"/>
      <c r="N32" s="2"/>
      <c r="Q32" s="261">
        <f>V32-S32</f>
        <v>0.2430111997663561</v>
      </c>
      <c r="R32" s="256" t="s">
        <v>0</v>
      </c>
      <c r="S32" s="262">
        <f>-SUM(T32:U32)</f>
        <v>-0.8044949460858692</v>
      </c>
      <c r="T32" s="263">
        <f>T24/AG24</f>
        <v>0.25693871801360113</v>
      </c>
      <c r="U32" s="264">
        <f>U24/AH24</f>
        <v>0.5475562280722681</v>
      </c>
      <c r="V32" s="569">
        <f>(AI7+X24)/AI24</f>
        <v>-0.5614837463195131</v>
      </c>
      <c r="W32" s="256" t="s">
        <v>0</v>
      </c>
      <c r="X32" s="268">
        <f>(1-T32)*(1-U32)</f>
        <v>0.3361934491953823</v>
      </c>
      <c r="AD32" s="237">
        <f>Q24/Q32</f>
        <v>73213.19139294328</v>
      </c>
      <c r="AE32" s="10" t="s">
        <v>0</v>
      </c>
      <c r="AF32" s="511">
        <f>S24/S32</f>
        <v>34072.15249593769</v>
      </c>
      <c r="AJ32" s="10" t="s">
        <v>0</v>
      </c>
      <c r="AK32" s="237">
        <f>AK48*AK24</f>
        <v>73250.63604124416</v>
      </c>
      <c r="AL32" s="2"/>
      <c r="AM32" s="493">
        <f>P0_1*AF32</f>
        <v>73206.06120775198</v>
      </c>
      <c r="AN32" s="181" t="s">
        <v>0</v>
      </c>
      <c r="AV32" s="2"/>
      <c r="AW32" s="2"/>
      <c r="AX32" s="2"/>
      <c r="AY32" s="2"/>
    </row>
    <row r="33" spans="3:51" ht="13.5" customHeight="1">
      <c r="C33" s="233"/>
      <c r="F33" s="2"/>
      <c r="G33" s="2"/>
      <c r="H33" s="2"/>
      <c r="I33" s="2"/>
      <c r="J33" s="2"/>
      <c r="K33" s="2"/>
      <c r="L33" s="2"/>
      <c r="M33" s="2"/>
      <c r="N33" s="2"/>
      <c r="Q33" s="2"/>
      <c r="R33" s="2"/>
      <c r="S33" s="2"/>
      <c r="T33" s="2"/>
      <c r="U33" s="2"/>
      <c r="V33" s="344" t="s">
        <v>183</v>
      </c>
      <c r="W33" s="2"/>
      <c r="AK33" s="2"/>
      <c r="AN33" s="447"/>
      <c r="AV33" s="2"/>
      <c r="AW33" s="2"/>
      <c r="AX33" s="2"/>
      <c r="AY33" s="2"/>
    </row>
    <row r="34" spans="3:51" ht="13.5" customHeight="1">
      <c r="C34" s="233"/>
      <c r="F34" s="2"/>
      <c r="G34" s="2"/>
      <c r="H34" s="2"/>
      <c r="I34" s="2"/>
      <c r="J34" s="2"/>
      <c r="K34" s="2"/>
      <c r="M34" s="2"/>
      <c r="N34" s="2"/>
      <c r="AV34" s="2"/>
      <c r="AW34" s="2"/>
      <c r="AX34" s="2"/>
      <c r="AY34" s="2"/>
    </row>
    <row r="35" spans="3:51" ht="13.5" customHeight="1" thickBot="1">
      <c r="C35" s="233"/>
      <c r="F35" s="2"/>
      <c r="G35" s="2"/>
      <c r="H35" s="43">
        <v>0.6005319145687786</v>
      </c>
      <c r="I35" s="44">
        <v>-4.849060307620998</v>
      </c>
      <c r="J35" s="44">
        <v>29.612663340833812</v>
      </c>
      <c r="K35" s="387">
        <v>-31.431201250909503</v>
      </c>
      <c r="M35" s="2"/>
      <c r="N35" s="2"/>
      <c r="Q35" s="2"/>
      <c r="R35" s="2"/>
      <c r="S35" s="5">
        <f>-SUM(T35:V35)</f>
        <v>2296154.7797443178</v>
      </c>
      <c r="T35" s="46">
        <f>-SUM(T37:T40)</f>
        <v>-901824.4736593624</v>
      </c>
      <c r="U35" s="46">
        <f>-SUM(U37:U40)</f>
        <v>-862881.8017687981</v>
      </c>
      <c r="V35" s="386">
        <f>-SUM(V37:V40)</f>
        <v>-531448.5043161574</v>
      </c>
      <c r="AD35" s="2"/>
      <c r="AE35" s="2"/>
      <c r="AF35" s="77">
        <f>-SUM(AG35:AI35)</f>
        <v>4933915.231245991</v>
      </c>
      <c r="AG35" s="78">
        <f>-SUM(AG37:AG40)</f>
        <v>-1937799.5202743523</v>
      </c>
      <c r="AH35" s="78">
        <f>-SUM(AH37:AH40)</f>
        <v>-1854153.39240132</v>
      </c>
      <c r="AI35" s="311">
        <f>-SUM(AI37:AI40)</f>
        <v>-1141962.3185703186</v>
      </c>
      <c r="AM35" s="487" t="s">
        <v>207</v>
      </c>
      <c r="AN35" s="447"/>
      <c r="AV35" s="2"/>
      <c r="AW35" s="2"/>
      <c r="AX35" s="2"/>
      <c r="AY35" s="2"/>
    </row>
    <row r="36" spans="3:51" ht="13.5" customHeight="1">
      <c r="C36" s="309"/>
      <c r="G36" s="100" t="s">
        <v>94</v>
      </c>
      <c r="H36" s="10">
        <v>0</v>
      </c>
      <c r="I36" s="10">
        <v>1</v>
      </c>
      <c r="J36" s="10">
        <v>2</v>
      </c>
      <c r="K36" s="10" t="s">
        <v>0</v>
      </c>
      <c r="L36" s="2"/>
      <c r="M36" s="2"/>
      <c r="N36" s="2"/>
      <c r="Q36" s="266" t="s">
        <v>11</v>
      </c>
      <c r="R36" s="271" t="s">
        <v>105</v>
      </c>
      <c r="S36" s="256" t="s">
        <v>2</v>
      </c>
      <c r="T36" s="256" t="s">
        <v>3</v>
      </c>
      <c r="U36" s="256" t="s">
        <v>4</v>
      </c>
      <c r="V36" s="256" t="s">
        <v>0</v>
      </c>
      <c r="W36" s="2"/>
      <c r="AD36" s="50" t="s">
        <v>25</v>
      </c>
      <c r="AE36" s="365" t="s">
        <v>102</v>
      </c>
      <c r="AF36" s="256" t="s">
        <v>2</v>
      </c>
      <c r="AG36" s="256" t="s">
        <v>3</v>
      </c>
      <c r="AH36" s="256" t="s">
        <v>4</v>
      </c>
      <c r="AI36" s="256" t="s">
        <v>0</v>
      </c>
      <c r="AM36" s="488" t="s">
        <v>216</v>
      </c>
      <c r="AN36" s="447"/>
      <c r="AV36" s="2"/>
      <c r="AW36" s="2"/>
      <c r="AX36" s="2"/>
      <c r="AY36" s="2"/>
    </row>
    <row r="37" spans="3:51" ht="13.5" customHeight="1">
      <c r="C37" s="233"/>
      <c r="F37" s="573">
        <v>0</v>
      </c>
      <c r="G37" s="414" t="s">
        <v>2</v>
      </c>
      <c r="H37" s="464">
        <v>35508.37925972062</v>
      </c>
      <c r="I37" s="52">
        <v>-334.4006787367214</v>
      </c>
      <c r="J37" s="53">
        <v>-825.5931021815289</v>
      </c>
      <c r="K37" s="53">
        <v>-2922</v>
      </c>
      <c r="L37" s="10" t="s">
        <v>2</v>
      </c>
      <c r="M37" s="2"/>
      <c r="N37" s="2"/>
      <c r="Q37" s="17">
        <f>-SUM(Q38:Q40)</f>
        <v>-2296154.779744318</v>
      </c>
      <c r="R37" s="10" t="s">
        <v>2</v>
      </c>
      <c r="S37" s="241">
        <f>-S35-SUM(S38:S40)</f>
        <v>-531448.504316157</v>
      </c>
      <c r="T37" s="58">
        <f>T7*AF30</f>
        <v>302231.6643513297</v>
      </c>
      <c r="U37" s="59">
        <f>U7*AF31</f>
        <v>263288.99246076547</v>
      </c>
      <c r="V37" s="59">
        <f>V7*AF32</f>
        <v>0</v>
      </c>
      <c r="W37" s="10" t="s">
        <v>2</v>
      </c>
      <c r="AD37" s="54">
        <f>-SUM(AD38:AD40)</f>
        <v>-4933915.231245991</v>
      </c>
      <c r="AE37" s="10" t="s">
        <v>2</v>
      </c>
      <c r="AF37" s="54">
        <f>-AF35-SUM(AF38:AF40)</f>
        <v>-1141962.3185703182</v>
      </c>
      <c r="AG37" s="81">
        <f>T7*AD30</f>
        <v>649410.8189181471</v>
      </c>
      <c r="AH37" s="82">
        <f>U7*AD31</f>
        <v>565764.6910451149</v>
      </c>
      <c r="AI37" s="82">
        <f>V7*AD32</f>
        <v>0</v>
      </c>
      <c r="AJ37" s="10" t="s">
        <v>2</v>
      </c>
      <c r="AL37" s="2"/>
      <c r="AM37" s="381"/>
      <c r="AN37" s="181" t="s">
        <v>2</v>
      </c>
      <c r="AV37" s="2"/>
      <c r="AW37" s="2"/>
      <c r="AX37" s="2"/>
      <c r="AY37" s="2"/>
    </row>
    <row r="38" spans="3:51" ht="13.5" customHeight="1">
      <c r="C38" s="233"/>
      <c r="F38" s="223"/>
      <c r="G38" s="414" t="s">
        <v>3</v>
      </c>
      <c r="H38" s="465">
        <v>-13241.321821554648</v>
      </c>
      <c r="I38" s="60">
        <v>165.3659597677031</v>
      </c>
      <c r="J38" s="61">
        <v>162.88948791735532</v>
      </c>
      <c r="K38" s="61">
        <v>320.8920173716104</v>
      </c>
      <c r="L38" s="256" t="s">
        <v>3</v>
      </c>
      <c r="M38" s="2"/>
      <c r="N38" s="2"/>
      <c r="Q38" s="75">
        <f>Q8*$AF30</f>
        <v>1208926.6574053187</v>
      </c>
      <c r="R38" s="256" t="s">
        <v>3</v>
      </c>
      <c r="S38" s="248">
        <f aca="true" t="shared" si="5" ref="S38:V40">S8*$AF30</f>
        <v>-906694.993053989</v>
      </c>
      <c r="T38" s="272">
        <f t="shared" si="5"/>
        <v>302231.6643513297</v>
      </c>
      <c r="U38" s="273">
        <f t="shared" si="5"/>
        <v>302231.6643513297</v>
      </c>
      <c r="V38" s="273">
        <f t="shared" si="5"/>
        <v>302231.6643513297</v>
      </c>
      <c r="W38" s="256" t="s">
        <v>3</v>
      </c>
      <c r="AD38" s="74">
        <f>Q8*$AD30</f>
        <v>2597643.2756725885</v>
      </c>
      <c r="AE38" s="256" t="s">
        <v>3</v>
      </c>
      <c r="AF38" s="282">
        <f aca="true" t="shared" si="6" ref="AF38:AI40">S8*$AD30</f>
        <v>-1948232.4567544414</v>
      </c>
      <c r="AG38" s="283">
        <f t="shared" si="6"/>
        <v>649410.8189181471</v>
      </c>
      <c r="AH38" s="284">
        <f t="shared" si="6"/>
        <v>649410.8189181471</v>
      </c>
      <c r="AI38" s="284">
        <f t="shared" si="6"/>
        <v>649410.8189181471</v>
      </c>
      <c r="AJ38" s="256" t="s">
        <v>3</v>
      </c>
      <c r="AL38" s="2"/>
      <c r="AM38" s="493">
        <f>(AF58+AF86)/S8</f>
        <v>649401.6090323586</v>
      </c>
      <c r="AN38" s="494" t="s">
        <v>3</v>
      </c>
      <c r="AT38" s="2"/>
      <c r="AU38" s="2"/>
      <c r="AV38" s="2"/>
      <c r="AW38" s="2"/>
      <c r="AX38" s="2"/>
      <c r="AY38" s="2"/>
    </row>
    <row r="39" spans="2:51" ht="13.5" customHeight="1">
      <c r="B39" s="421" t="s">
        <v>189</v>
      </c>
      <c r="C39" s="233"/>
      <c r="F39" s="223"/>
      <c r="G39" s="414" t="s">
        <v>4</v>
      </c>
      <c r="H39" s="466">
        <v>-13130.700046291231</v>
      </c>
      <c r="I39" s="224">
        <v>106.85922504153731</v>
      </c>
      <c r="J39" s="225">
        <v>280.6301047956957</v>
      </c>
      <c r="K39" s="226">
        <v>357.50153689373644</v>
      </c>
      <c r="L39" s="256" t="s">
        <v>4</v>
      </c>
      <c r="M39" s="2"/>
      <c r="N39" s="2"/>
      <c r="Q39" s="75">
        <f>Q9*$AF31</f>
        <v>1053155.9698430619</v>
      </c>
      <c r="R39" s="256" t="s">
        <v>4</v>
      </c>
      <c r="S39" s="249">
        <f t="shared" si="5"/>
        <v>-789866.9773822965</v>
      </c>
      <c r="T39" s="274">
        <f t="shared" si="5"/>
        <v>263288.99246076547</v>
      </c>
      <c r="U39" s="275">
        <f t="shared" si="5"/>
        <v>263288.99246076547</v>
      </c>
      <c r="V39" s="276">
        <f t="shared" si="5"/>
        <v>263288.99246076547</v>
      </c>
      <c r="W39" s="256" t="s">
        <v>4</v>
      </c>
      <c r="AD39" s="74">
        <f>Q9*$AD31</f>
        <v>2263058.7641804595</v>
      </c>
      <c r="AE39" s="256" t="s">
        <v>4</v>
      </c>
      <c r="AF39" s="285">
        <f t="shared" si="6"/>
        <v>-1697294.0731353448</v>
      </c>
      <c r="AG39" s="286">
        <f t="shared" si="6"/>
        <v>565764.6910451149</v>
      </c>
      <c r="AH39" s="287">
        <f t="shared" si="6"/>
        <v>565764.6910451149</v>
      </c>
      <c r="AI39" s="288">
        <f t="shared" si="6"/>
        <v>565764.6910451149</v>
      </c>
      <c r="AJ39" s="256" t="s">
        <v>4</v>
      </c>
      <c r="AL39" s="2"/>
      <c r="AM39" s="493">
        <f>(AF59+AF87)/S9</f>
        <v>565765.0657633801</v>
      </c>
      <c r="AN39" s="494" t="s">
        <v>4</v>
      </c>
      <c r="AU39" s="2"/>
      <c r="AV39" s="2"/>
      <c r="AW39" s="2"/>
      <c r="AX39" s="2"/>
      <c r="AY39" s="2"/>
    </row>
    <row r="40" spans="2:51" ht="13.5" customHeight="1" thickBot="1">
      <c r="B40" s="421" t="s">
        <v>164</v>
      </c>
      <c r="C40" s="233"/>
      <c r="F40" s="235">
        <v>-38163.17805062219</v>
      </c>
      <c r="G40" s="414" t="s">
        <v>0</v>
      </c>
      <c r="H40" s="467">
        <v>-9136.957923789314</v>
      </c>
      <c r="I40" s="227">
        <v>67.02455423510226</v>
      </c>
      <c r="J40" s="228">
        <v>352.46084612764434</v>
      </c>
      <c r="K40" s="229">
        <v>2275.0376469855614</v>
      </c>
      <c r="L40" s="256" t="s">
        <v>0</v>
      </c>
      <c r="M40" s="2"/>
      <c r="N40" s="2"/>
      <c r="Q40" s="236">
        <f>Q10*$AF32</f>
        <v>34072.15249593769</v>
      </c>
      <c r="R40" s="256" t="s">
        <v>0</v>
      </c>
      <c r="S40" s="298">
        <f t="shared" si="5"/>
        <v>-68144.30499187538</v>
      </c>
      <c r="T40" s="277">
        <f t="shared" si="5"/>
        <v>34072.15249593769</v>
      </c>
      <c r="U40" s="278">
        <f t="shared" si="5"/>
        <v>34072.15249593769</v>
      </c>
      <c r="V40" s="279">
        <f t="shared" si="5"/>
        <v>-34072.15249593769</v>
      </c>
      <c r="W40" s="256" t="s">
        <v>0</v>
      </c>
      <c r="AB40" s="2"/>
      <c r="AC40" s="2"/>
      <c r="AD40" s="237">
        <f>Q10*$AD32</f>
        <v>73213.19139294328</v>
      </c>
      <c r="AE40" s="256" t="s">
        <v>0</v>
      </c>
      <c r="AF40" s="95">
        <f t="shared" si="6"/>
        <v>-146426.38278588656</v>
      </c>
      <c r="AG40" s="96">
        <f t="shared" si="6"/>
        <v>73213.19139294328</v>
      </c>
      <c r="AH40" s="97">
        <f t="shared" si="6"/>
        <v>73213.19139294328</v>
      </c>
      <c r="AI40" s="98">
        <f t="shared" si="6"/>
        <v>-73213.19139294328</v>
      </c>
      <c r="AJ40" s="256" t="s">
        <v>0</v>
      </c>
      <c r="AL40" s="2"/>
      <c r="AM40" s="493">
        <f>(AF60+AF88)/S10</f>
        <v>73226.34852189758</v>
      </c>
      <c r="AN40" s="181" t="s">
        <v>0</v>
      </c>
      <c r="AV40" s="2"/>
      <c r="AW40" s="2"/>
      <c r="AX40" s="2"/>
      <c r="AY40" s="2"/>
    </row>
    <row r="41" spans="3:51" ht="13.5" customHeight="1">
      <c r="C41" s="233"/>
      <c r="F41" s="2"/>
      <c r="G41" s="2"/>
      <c r="H41" s="2"/>
      <c r="I41" s="2"/>
      <c r="J41" s="2"/>
      <c r="K41" s="2"/>
      <c r="L41" s="2"/>
      <c r="M41" s="2"/>
      <c r="N41" s="2"/>
      <c r="AB41" s="2"/>
      <c r="AC41" s="2"/>
      <c r="AK41" s="2"/>
      <c r="AL41" s="2"/>
      <c r="AM41" s="2"/>
      <c r="AN41" s="2"/>
      <c r="AV41" s="2"/>
      <c r="AW41" s="2"/>
      <c r="AX41" s="2"/>
      <c r="AY41" s="2"/>
    </row>
    <row r="42" spans="3:51" ht="13.5" customHeight="1">
      <c r="C42" s="233"/>
      <c r="F42" s="2"/>
      <c r="G42" s="2"/>
      <c r="H42" s="2"/>
      <c r="I42" s="2"/>
      <c r="J42" s="2"/>
      <c r="K42" s="2"/>
      <c r="M42" s="2"/>
      <c r="N42" s="2"/>
      <c r="R42" s="316" t="s">
        <v>108</v>
      </c>
      <c r="S42" s="2"/>
      <c r="T42" s="2"/>
      <c r="U42" s="2"/>
      <c r="V42" s="2"/>
      <c r="AA42" s="2"/>
      <c r="AB42" s="2"/>
      <c r="AC42" s="435" t="s">
        <v>175</v>
      </c>
      <c r="AE42" s="2"/>
      <c r="AU42" s="2"/>
      <c r="AV42" s="2"/>
      <c r="AW42" s="2"/>
      <c r="AX42" s="2"/>
      <c r="AY42" s="2"/>
    </row>
    <row r="43" spans="6:51" ht="13.5" customHeight="1" thickBot="1">
      <c r="F43" s="2"/>
      <c r="G43" s="2"/>
      <c r="H43" s="43">
        <v>0.613476517047236</v>
      </c>
      <c r="I43" s="44">
        <v>-4.821100127529875</v>
      </c>
      <c r="J43" s="44">
        <v>29.618283538230795</v>
      </c>
      <c r="K43" s="387">
        <v>-31.443266007250354</v>
      </c>
      <c r="M43" s="2"/>
      <c r="N43" s="2"/>
      <c r="Q43" s="312">
        <f>SUM(Q38:Q40)</f>
        <v>2296154.779744318</v>
      </c>
      <c r="R43" s="266" t="s">
        <v>16</v>
      </c>
      <c r="S43" s="5">
        <f>SUM(S38:S40)</f>
        <v>-1764706.2754281608</v>
      </c>
      <c r="T43" s="46">
        <f>SUM(T38:T40)</f>
        <v>599592.8093080327</v>
      </c>
      <c r="U43" s="46">
        <f>SUM(U38:U40)</f>
        <v>599592.8093080327</v>
      </c>
      <c r="V43" s="366">
        <f>SUM(V38:V39)</f>
        <v>565520.6568120951</v>
      </c>
      <c r="AA43" s="2"/>
      <c r="AB43" s="2"/>
      <c r="AC43" s="435" t="s">
        <v>150</v>
      </c>
      <c r="AD43" s="2"/>
      <c r="AE43" s="2"/>
      <c r="AF43" s="80">
        <f>AF35/AF19</f>
        <v>2.148559919027132</v>
      </c>
      <c r="AG43" s="47">
        <f>AG35/AG19</f>
        <v>935.8351462713825</v>
      </c>
      <c r="AH43" s="47">
        <f>AH35/AH19</f>
        <v>113.7390409884699</v>
      </c>
      <c r="AI43" s="385">
        <f>AI35/AI19</f>
        <v>21.191693250503302</v>
      </c>
      <c r="AJ43" s="2"/>
      <c r="AM43" s="483" t="s">
        <v>207</v>
      </c>
      <c r="AN43" s="484" t="s">
        <v>214</v>
      </c>
      <c r="AV43" s="2"/>
      <c r="AW43" s="2"/>
      <c r="AX43" s="2"/>
      <c r="AY43" s="2"/>
    </row>
    <row r="44" spans="4:51" ht="13.5" customHeight="1">
      <c r="D44" s="233"/>
      <c r="G44" s="100" t="s">
        <v>79</v>
      </c>
      <c r="H44" s="10">
        <v>0</v>
      </c>
      <c r="I44" s="10">
        <v>1</v>
      </c>
      <c r="J44" s="10">
        <v>2</v>
      </c>
      <c r="K44" s="10" t="s">
        <v>0</v>
      </c>
      <c r="M44" s="2"/>
      <c r="N44" s="2"/>
      <c r="R44" s="2"/>
      <c r="S44" s="10">
        <v>0</v>
      </c>
      <c r="T44" s="10">
        <v>1</v>
      </c>
      <c r="U44" s="10">
        <v>2</v>
      </c>
      <c r="V44" s="10" t="s">
        <v>0</v>
      </c>
      <c r="AA44" s="2"/>
      <c r="AD44" s="2"/>
      <c r="AE44" s="375" t="s">
        <v>145</v>
      </c>
      <c r="AF44" s="256" t="s">
        <v>2</v>
      </c>
      <c r="AG44" s="256" t="s">
        <v>3</v>
      </c>
      <c r="AH44" s="10">
        <v>2</v>
      </c>
      <c r="AI44" s="256" t="s">
        <v>0</v>
      </c>
      <c r="AK44" s="42" t="s">
        <v>66</v>
      </c>
      <c r="AM44" s="485" t="s">
        <v>215</v>
      </c>
      <c r="AN44" s="482"/>
      <c r="AU44" s="2"/>
      <c r="AV44" s="2"/>
      <c r="AW44" s="2"/>
      <c r="AX44" s="2"/>
      <c r="AY44" s="2"/>
    </row>
    <row r="45" spans="4:51" ht="13.5" customHeight="1">
      <c r="D45" s="233"/>
      <c r="F45" s="573">
        <v>0</v>
      </c>
      <c r="G45" s="414" t="s">
        <v>2</v>
      </c>
      <c r="H45" s="464">
        <v>35508.66067793263</v>
      </c>
      <c r="I45" s="52">
        <v>-334.3627447655813</v>
      </c>
      <c r="J45" s="53">
        <v>-825.5805464456389</v>
      </c>
      <c r="K45" s="53">
        <v>-2922</v>
      </c>
      <c r="L45" s="10" t="s">
        <v>2</v>
      </c>
      <c r="M45" s="2"/>
      <c r="N45" s="2"/>
      <c r="Q45" s="2"/>
      <c r="R45" s="2"/>
      <c r="S45" s="2"/>
      <c r="T45" s="2"/>
      <c r="U45" s="2"/>
      <c r="V45" s="2"/>
      <c r="AA45" s="2"/>
      <c r="AB45" s="2"/>
      <c r="AC45" s="438" t="s">
        <v>195</v>
      </c>
      <c r="AD45" s="321">
        <f>AD37/AD21</f>
        <v>1.0000007845759238</v>
      </c>
      <c r="AE45" s="10" t="s">
        <v>2</v>
      </c>
      <c r="AF45" s="321">
        <f aca="true" t="shared" si="7" ref="AF45:AH48">AF37/AF21</f>
        <v>2.1485598702440893</v>
      </c>
      <c r="AG45" s="322">
        <f t="shared" si="7"/>
        <v>935.8151428114687</v>
      </c>
      <c r="AH45" s="323">
        <f t="shared" si="7"/>
        <v>113.7356160864791</v>
      </c>
      <c r="AI45" s="182"/>
      <c r="AJ45" s="10" t="s">
        <v>2</v>
      </c>
      <c r="AK45" s="68"/>
      <c r="AM45" s="381"/>
      <c r="AN45" s="181" t="s">
        <v>2</v>
      </c>
      <c r="AU45" s="2"/>
      <c r="AV45" s="2"/>
      <c r="AW45" s="2"/>
      <c r="AX45" s="2"/>
      <c r="AY45" s="2"/>
    </row>
    <row r="46" spans="6:51" ht="13.5" customHeight="1">
      <c r="F46" s="223"/>
      <c r="G46" s="414" t="s">
        <v>3</v>
      </c>
      <c r="H46" s="465">
        <v>-13241.472660780368</v>
      </c>
      <c r="I46" s="60">
        <v>165.3168775924509</v>
      </c>
      <c r="J46" s="61">
        <v>162.8928186296025</v>
      </c>
      <c r="K46" s="61">
        <v>320.90131415101456</v>
      </c>
      <c r="L46" s="256" t="s">
        <v>3</v>
      </c>
      <c r="M46" s="2"/>
      <c r="N46" s="2"/>
      <c r="AA46" s="2"/>
      <c r="AD46" s="70">
        <f>AD38/AD22</f>
        <v>1.0000097541101152</v>
      </c>
      <c r="AE46" s="10" t="s">
        <v>3</v>
      </c>
      <c r="AF46" s="71">
        <f t="shared" si="7"/>
        <v>2.1486124011696486</v>
      </c>
      <c r="AG46" s="87">
        <f t="shared" si="7"/>
        <v>935.895012672788</v>
      </c>
      <c r="AH46" s="88">
        <f t="shared" si="7"/>
        <v>113.74052089428147</v>
      </c>
      <c r="AI46" s="88">
        <f>AI38/AI22</f>
        <v>21.191117751735238</v>
      </c>
      <c r="AJ46" s="256" t="s">
        <v>3</v>
      </c>
      <c r="AK46" s="299">
        <f>AG51</f>
        <v>935.835216355859</v>
      </c>
      <c r="AM46" s="493">
        <f>(AK46*AK8*AK58)^X8</f>
        <v>649403.2175127852</v>
      </c>
      <c r="AN46" s="494" t="s">
        <v>3</v>
      </c>
      <c r="AV46" s="2"/>
      <c r="AW46" s="2"/>
      <c r="AX46" s="2"/>
      <c r="AY46" s="2"/>
    </row>
    <row r="47" spans="6:51" ht="13.5" customHeight="1" thickBot="1">
      <c r="F47" s="223"/>
      <c r="G47" s="414" t="s">
        <v>4</v>
      </c>
      <c r="H47" s="466">
        <v>-13130.803714260139</v>
      </c>
      <c r="I47" s="224">
        <v>106.83796558291395</v>
      </c>
      <c r="J47" s="225">
        <v>280.6216158835914</v>
      </c>
      <c r="K47" s="226">
        <v>357.5076432152763</v>
      </c>
      <c r="L47" s="256" t="s">
        <v>4</v>
      </c>
      <c r="N47" s="2"/>
      <c r="Q47" s="62">
        <f>-Q85</f>
        <v>3.705711652641412</v>
      </c>
      <c r="R47" s="67" t="s">
        <v>206</v>
      </c>
      <c r="S47" s="406">
        <f>-S85</f>
        <v>-106523.50785750676</v>
      </c>
      <c r="T47" s="345">
        <f>X22</f>
        <v>100.33233551319734</v>
      </c>
      <c r="U47" s="345">
        <f>X23</f>
        <v>825.6154535186706</v>
      </c>
      <c r="V47" s="366">
        <f>AI7</f>
        <v>8766</v>
      </c>
      <c r="W47" s="2"/>
      <c r="X47" s="476" t="s">
        <v>205</v>
      </c>
      <c r="AA47" s="2"/>
      <c r="AB47" s="2"/>
      <c r="AC47" s="435" t="s">
        <v>151</v>
      </c>
      <c r="AD47" s="70">
        <f>AD39/AD23</f>
        <v>0.9999912821878002</v>
      </c>
      <c r="AE47" s="10" t="s">
        <v>4</v>
      </c>
      <c r="AF47" s="257">
        <f t="shared" si="7"/>
        <v>2.1485834238067505</v>
      </c>
      <c r="AG47" s="289">
        <f t="shared" si="7"/>
        <v>935.849575195788</v>
      </c>
      <c r="AH47" s="290">
        <f t="shared" si="7"/>
        <v>113.7413525492127</v>
      </c>
      <c r="AI47" s="291">
        <f>AI39/AI23</f>
        <v>21.19085365105367</v>
      </c>
      <c r="AJ47" s="256" t="s">
        <v>4</v>
      </c>
      <c r="AK47" s="299">
        <f>AH51</f>
        <v>113.74034843063788</v>
      </c>
      <c r="AM47" s="493">
        <f>(AK47*AK9*AK59)^X9</f>
        <v>565768.5154447695</v>
      </c>
      <c r="AN47" s="494" t="s">
        <v>4</v>
      </c>
      <c r="AT47" s="2"/>
      <c r="AV47" s="2"/>
      <c r="AW47" s="2"/>
      <c r="AX47" s="2"/>
      <c r="AY47" s="2"/>
    </row>
    <row r="48" spans="6:51" ht="13.5" customHeight="1" thickBot="1">
      <c r="F48" s="235">
        <v>-38136.95636380624</v>
      </c>
      <c r="G48" s="414" t="s">
        <v>0</v>
      </c>
      <c r="H48" s="467">
        <v>-9136.997779409176</v>
      </c>
      <c r="I48" s="227">
        <v>67.02900171774591</v>
      </c>
      <c r="J48" s="228">
        <v>352.4478283942145</v>
      </c>
      <c r="K48" s="229">
        <v>2275.0343086409594</v>
      </c>
      <c r="L48" s="256" t="s">
        <v>0</v>
      </c>
      <c r="M48" s="2"/>
      <c r="N48" s="2"/>
      <c r="Q48" s="2"/>
      <c r="R48" s="2"/>
      <c r="S48" s="10">
        <v>0</v>
      </c>
      <c r="T48" s="10">
        <v>1</v>
      </c>
      <c r="U48" s="10">
        <v>2</v>
      </c>
      <c r="V48" s="10" t="s">
        <v>0</v>
      </c>
      <c r="W48" s="2"/>
      <c r="X48" s="2"/>
      <c r="AA48" s="2"/>
      <c r="AB48" s="2"/>
      <c r="AC48" s="435" t="s">
        <v>174</v>
      </c>
      <c r="AD48" s="261">
        <f>AD40/AD24</f>
        <v>0.9999762708224393</v>
      </c>
      <c r="AE48" s="10" t="s">
        <v>0</v>
      </c>
      <c r="AF48" s="199">
        <f t="shared" si="7"/>
        <v>2.148377674072045</v>
      </c>
      <c r="AG48" s="292">
        <f t="shared" si="7"/>
        <v>935.5321022942152</v>
      </c>
      <c r="AH48" s="293">
        <f t="shared" si="7"/>
        <v>113.73852479922529</v>
      </c>
      <c r="AI48" s="324">
        <f>AI40/AI24</f>
        <v>21.180224583248947</v>
      </c>
      <c r="AJ48" s="256" t="s">
        <v>0</v>
      </c>
      <c r="AK48" s="300">
        <f>-AI51</f>
        <v>-21.19105714013336</v>
      </c>
      <c r="AM48" s="493">
        <f>(AK48*AK10*AK60)^X10</f>
        <v>73233.96977270288</v>
      </c>
      <c r="AN48" s="181" t="s">
        <v>0</v>
      </c>
      <c r="AT48" s="2"/>
      <c r="AU48" s="2"/>
      <c r="AV48" s="2"/>
      <c r="AW48" s="2"/>
      <c r="AX48" s="2"/>
      <c r="AY48" s="2"/>
    </row>
    <row r="49" spans="14:51" ht="13.5" customHeight="1">
      <c r="N49" s="2"/>
      <c r="AA49" s="2"/>
      <c r="AB49" s="2"/>
      <c r="AC49" s="2"/>
      <c r="AT49" s="2"/>
      <c r="AU49" s="2"/>
      <c r="AV49" s="2"/>
      <c r="AW49" s="2"/>
      <c r="AX49" s="2"/>
      <c r="AY49" s="2"/>
    </row>
    <row r="50" spans="6:51" ht="13.5" customHeight="1">
      <c r="F50" s="480" t="s">
        <v>208</v>
      </c>
      <c r="M50" s="2"/>
      <c r="N50" s="2"/>
      <c r="O50" s="497" t="s">
        <v>73</v>
      </c>
      <c r="P50" s="498"/>
      <c r="Q50" s="495">
        <f>AD50/AF50</f>
        <v>0.5</v>
      </c>
      <c r="S50" s="495">
        <f>GPE!E18/GPE!$E18</f>
        <v>1</v>
      </c>
      <c r="T50" s="496">
        <f>GPE!F18/GPE!$E18</f>
        <v>441.93345888261155</v>
      </c>
      <c r="U50" s="496">
        <f>GPE!G18/GPE!$E18</f>
        <v>53.86064030131828</v>
      </c>
      <c r="V50" s="496">
        <f>GPE!H18/GPE!$E18</f>
        <v>10</v>
      </c>
      <c r="Y50" s="2"/>
      <c r="Z50" s="2"/>
      <c r="AA50" s="2"/>
      <c r="AB50" s="2"/>
      <c r="AC50" s="2"/>
      <c r="AD50" s="495">
        <v>1</v>
      </c>
      <c r="AE50" s="2"/>
      <c r="AF50" s="495">
        <f>GPE!E18</f>
        <v>2</v>
      </c>
      <c r="AG50" s="496">
        <f>GPE!F18</f>
        <v>883.8669177652231</v>
      </c>
      <c r="AH50" s="496">
        <f>GPE!G18</f>
        <v>107.72128060263655</v>
      </c>
      <c r="AI50" s="496">
        <f>GPE!H18</f>
        <v>20</v>
      </c>
      <c r="AT50" s="2"/>
      <c r="AU50" s="2"/>
      <c r="AV50" s="2"/>
      <c r="AW50" s="2"/>
      <c r="AX50" s="2"/>
      <c r="AY50" s="2"/>
    </row>
    <row r="51" spans="4:51" ht="13.5" customHeight="1" thickBot="1">
      <c r="D51" s="481" t="s">
        <v>212</v>
      </c>
      <c r="F51" s="29">
        <v>8.341873637136455</v>
      </c>
      <c r="H51" s="457"/>
      <c r="I51" s="2"/>
      <c r="K51" s="369">
        <v>-10281.808969986907</v>
      </c>
      <c r="N51" s="2"/>
      <c r="O51" s="498"/>
      <c r="P51" s="435" t="s">
        <v>221</v>
      </c>
      <c r="Q51" s="501">
        <f>Q57/(AD37-Q21)</f>
        <v>0.4654276599730536</v>
      </c>
      <c r="R51" s="42" t="s">
        <v>124</v>
      </c>
      <c r="S51" s="80">
        <f>'Econ 0'!C22</f>
        <v>1.0000148355280336</v>
      </c>
      <c r="T51" s="47">
        <f>'Econ 0'!D22</f>
        <v>435.5639366015937</v>
      </c>
      <c r="U51" s="47">
        <f>'Econ 0'!E22</f>
        <v>52.937945748396686</v>
      </c>
      <c r="V51" s="385">
        <f>'Econ 0'!F22</f>
        <v>9.862911875284667</v>
      </c>
      <c r="W51" s="2"/>
      <c r="X51" s="327" t="s">
        <v>186</v>
      </c>
      <c r="Y51" s="2"/>
      <c r="Z51" s="2"/>
      <c r="AA51" s="2"/>
      <c r="AB51" s="2"/>
      <c r="AC51" s="435" t="s">
        <v>184</v>
      </c>
      <c r="AD51" s="48">
        <f>P0_1*Chi_1</f>
        <v>0.9999992154246914</v>
      </c>
      <c r="AE51" s="100" t="s">
        <v>88</v>
      </c>
      <c r="AF51" s="80">
        <f>AF35/(S55+S19)</f>
        <v>2.148559919027132</v>
      </c>
      <c r="AG51" s="47">
        <f>P0_1*T51</f>
        <v>935.835216355859</v>
      </c>
      <c r="AH51" s="47">
        <f>P0_1*U51</f>
        <v>113.74034843063788</v>
      </c>
      <c r="AI51" s="385">
        <f>P0_1*V51</f>
        <v>21.19105714013336</v>
      </c>
      <c r="AT51" s="2"/>
      <c r="AU51" s="2"/>
      <c r="AV51" s="2"/>
      <c r="AW51" s="2"/>
      <c r="AX51" s="2"/>
      <c r="AY51" s="2"/>
    </row>
    <row r="52" spans="9:51" ht="13.5" customHeight="1">
      <c r="I52" s="100" t="s">
        <v>237</v>
      </c>
      <c r="N52" s="2"/>
      <c r="O52" s="499" t="s">
        <v>220</v>
      </c>
      <c r="P52" s="498"/>
      <c r="Q52" s="500" t="s">
        <v>222</v>
      </c>
      <c r="R52" s="2"/>
      <c r="S52" s="10">
        <v>0</v>
      </c>
      <c r="T52" s="10">
        <v>1</v>
      </c>
      <c r="U52" s="10">
        <v>2</v>
      </c>
      <c r="V52" s="10" t="s">
        <v>0</v>
      </c>
      <c r="W52" s="2"/>
      <c r="X52" s="442" t="s">
        <v>100</v>
      </c>
      <c r="Y52" s="2"/>
      <c r="Z52" s="2"/>
      <c r="AA52" s="2"/>
      <c r="AB52" s="436" t="s">
        <v>154</v>
      </c>
      <c r="AC52" s="2"/>
      <c r="AD52" s="357" t="s">
        <v>134</v>
      </c>
      <c r="AE52" s="2"/>
      <c r="AF52" s="10">
        <v>0</v>
      </c>
      <c r="AG52" s="10">
        <v>1</v>
      </c>
      <c r="AH52" s="10">
        <v>2</v>
      </c>
      <c r="AI52" s="10" t="s">
        <v>0</v>
      </c>
      <c r="AU52" s="2"/>
      <c r="AV52" s="2"/>
      <c r="AW52" s="2"/>
      <c r="AX52" s="2"/>
      <c r="AY52" s="2"/>
    </row>
    <row r="53" spans="9:51" ht="13.5" customHeight="1">
      <c r="I53" s="506" t="s">
        <v>224</v>
      </c>
      <c r="N53" s="2"/>
      <c r="W53" s="2"/>
      <c r="X53" s="2"/>
      <c r="Y53" s="2"/>
      <c r="Z53" s="2"/>
      <c r="AB53" s="2"/>
      <c r="AC53" s="2"/>
      <c r="AU53" s="2"/>
      <c r="AV53" s="2"/>
      <c r="AW53" s="2"/>
      <c r="AX53" s="2"/>
      <c r="AY53" s="2"/>
    </row>
    <row r="54" spans="4:51" ht="13.5" customHeight="1">
      <c r="D54" s="421" t="s">
        <v>265</v>
      </c>
      <c r="N54" s="2"/>
      <c r="AU54" s="2"/>
      <c r="AV54" s="2"/>
      <c r="AW54" s="2"/>
      <c r="AX54" s="2"/>
      <c r="AY54" s="2"/>
    </row>
    <row r="55" spans="4:51" ht="13.5" customHeight="1" thickBot="1">
      <c r="D55" s="570" t="s">
        <v>264</v>
      </c>
      <c r="F55" s="29">
        <f>H55/H58-V0_1</f>
        <v>0.10480122962177707</v>
      </c>
      <c r="H55" s="8">
        <f>-SUM(I55:K55)</f>
        <v>-87407.53311196942</v>
      </c>
      <c r="I55" s="6">
        <f>T51*T47</f>
        <v>43701.14702456011</v>
      </c>
      <c r="J55" s="6">
        <f>U51*U47</f>
        <v>43706.38608740931</v>
      </c>
      <c r="K55" s="312"/>
      <c r="N55" s="2"/>
      <c r="Q55" s="2"/>
      <c r="R55" s="2"/>
      <c r="S55" s="8">
        <f>-SUM(T55:V55)</f>
        <v>2296380.620584229</v>
      </c>
      <c r="T55" s="6">
        <f>T$51*AG5</f>
        <v>-901272.8146786547</v>
      </c>
      <c r="U55" s="6">
        <f>U$51*AH5</f>
        <v>-864552.5053632333</v>
      </c>
      <c r="V55" s="312">
        <f>V$51*AI5</f>
        <v>-530555.3005423413</v>
      </c>
      <c r="W55" s="2"/>
      <c r="X55" s="2"/>
      <c r="Y55" s="2"/>
      <c r="Z55" s="2"/>
      <c r="AB55" s="2"/>
      <c r="AC55" s="2"/>
      <c r="AD55" s="2"/>
      <c r="AE55" s="2"/>
      <c r="AF55" s="77">
        <f>-SUM(AG55:AI55)</f>
        <v>4933911.360217926</v>
      </c>
      <c r="AG55" s="78">
        <f>AG$51*AG5</f>
        <v>-1936438.6457273255</v>
      </c>
      <c r="AH55" s="78">
        <f>AH$51*AH5</f>
        <v>-1857542.8609179324</v>
      </c>
      <c r="AI55" s="311">
        <f>AI$51*AI5</f>
        <v>-1139929.8535726683</v>
      </c>
      <c r="AJ55" s="2"/>
      <c r="AK55" s="398" t="s">
        <v>207</v>
      </c>
      <c r="AU55" s="2"/>
      <c r="AV55" s="2"/>
      <c r="AW55" s="2"/>
      <c r="AX55" s="2"/>
      <c r="AY55" s="2"/>
    </row>
    <row r="56" spans="14:51" ht="13.5" customHeight="1">
      <c r="N56" s="2"/>
      <c r="Q56" s="266" t="s">
        <v>8</v>
      </c>
      <c r="R56" s="266" t="s">
        <v>101</v>
      </c>
      <c r="S56" s="10" t="s">
        <v>2</v>
      </c>
      <c r="T56" s="10" t="s">
        <v>3</v>
      </c>
      <c r="U56" s="10" t="s">
        <v>4</v>
      </c>
      <c r="V56" s="10" t="s">
        <v>0</v>
      </c>
      <c r="W56" s="2"/>
      <c r="X56" s="2"/>
      <c r="Y56" s="2"/>
      <c r="Z56" s="2"/>
      <c r="AA56" s="2"/>
      <c r="AB56" s="2"/>
      <c r="AC56" s="2"/>
      <c r="AD56" s="50" t="s">
        <v>1</v>
      </c>
      <c r="AE56" s="376" t="s">
        <v>144</v>
      </c>
      <c r="AF56" s="256" t="s">
        <v>2</v>
      </c>
      <c r="AG56" s="256" t="s">
        <v>3</v>
      </c>
      <c r="AH56" s="256">
        <v>2</v>
      </c>
      <c r="AI56" s="256" t="s">
        <v>0</v>
      </c>
      <c r="AJ56" s="2"/>
      <c r="AK56" s="399" t="s">
        <v>144</v>
      </c>
      <c r="AU56" s="2"/>
      <c r="AV56" s="2"/>
      <c r="AW56" s="2"/>
      <c r="AX56" s="2"/>
      <c r="AY56" s="2"/>
    </row>
    <row r="57" spans="4:51" ht="13.5" customHeight="1">
      <c r="D57" s="383" t="s">
        <v>163</v>
      </c>
      <c r="E57" s="2"/>
      <c r="F57" s="495">
        <f>IState!C9</f>
        <v>0.5131581182307065</v>
      </c>
      <c r="H57" s="317" t="s">
        <v>70</v>
      </c>
      <c r="Q57" s="17">
        <f>-S55</f>
        <v>-2296380.620584229</v>
      </c>
      <c r="R57" s="10" t="s">
        <v>2</v>
      </c>
      <c r="S57" s="241">
        <f>-S55-SUM(S58:S60)</f>
        <v>-638051.4204739733</v>
      </c>
      <c r="T57" s="56">
        <f aca="true" t="shared" si="8" ref="T57:V60">T$51*AG7</f>
        <v>345961.62542401947</v>
      </c>
      <c r="U57" s="57">
        <f t="shared" si="8"/>
        <v>307040.08534070075</v>
      </c>
      <c r="V57" s="57">
        <f t="shared" si="8"/>
        <v>86458.28549874539</v>
      </c>
      <c r="W57" s="10" t="s">
        <v>2</v>
      </c>
      <c r="X57" s="2"/>
      <c r="Y57" s="2"/>
      <c r="Z57" s="2"/>
      <c r="AA57" s="2"/>
      <c r="AB57" s="2"/>
      <c r="AC57" s="2"/>
      <c r="AD57" s="54">
        <f>-SUM(AD58:AD60)</f>
        <v>-4933911.360217927</v>
      </c>
      <c r="AE57" s="10" t="s">
        <v>2</v>
      </c>
      <c r="AF57" s="241">
        <f>-AF55-SUM(AF58:AF60)</f>
        <v>-1370891.7083087065</v>
      </c>
      <c r="AG57" s="81">
        <f aca="true" t="shared" si="9" ref="AG57:AI60">AG$51*AG7</f>
        <v>743319.2819075262</v>
      </c>
      <c r="AH57" s="82">
        <f t="shared" si="9"/>
        <v>659694.0208976998</v>
      </c>
      <c r="AI57" s="82">
        <f t="shared" si="9"/>
        <v>185760.80689040903</v>
      </c>
      <c r="AJ57" s="10" t="s">
        <v>2</v>
      </c>
      <c r="AK57" s="68"/>
      <c r="AU57" s="2"/>
      <c r="AV57" s="2"/>
      <c r="AW57" s="2"/>
      <c r="AX57" s="2"/>
      <c r="AY57" s="2"/>
    </row>
    <row r="58" spans="4:37" ht="13.5" customHeight="1" thickBot="1">
      <c r="D58" s="574" t="s">
        <v>217</v>
      </c>
      <c r="E58" s="2"/>
      <c r="F58" s="575">
        <f>(V0_1-Nu_1/V0_1)^(-Term1)</f>
        <v>0.4354407798618891</v>
      </c>
      <c r="H58" s="17">
        <f>-SUM(H59:H61)</f>
        <v>-79116.07153251715</v>
      </c>
      <c r="Q58" s="75">
        <f>T57-S58</f>
        <v>1212977.4921914083</v>
      </c>
      <c r="R58" s="10" t="s">
        <v>3</v>
      </c>
      <c r="S58" s="193">
        <f>-SUM(T58:V58)</f>
        <v>-867015.8667673889</v>
      </c>
      <c r="T58" s="194">
        <f t="shared" si="8"/>
        <v>280627.03493378044</v>
      </c>
      <c r="U58" s="195">
        <f t="shared" si="8"/>
        <v>293630.4927458409</v>
      </c>
      <c r="V58" s="195">
        <f t="shared" si="8"/>
        <v>292758.3390877675</v>
      </c>
      <c r="W58" s="256" t="s">
        <v>3</v>
      </c>
      <c r="X58" s="443" t="s">
        <v>179</v>
      </c>
      <c r="Y58" s="2"/>
      <c r="Z58" s="2"/>
      <c r="AA58" s="2"/>
      <c r="AB58" s="2"/>
      <c r="AC58" s="439" t="s">
        <v>172</v>
      </c>
      <c r="AD58" s="74">
        <f>AG57-AF58</f>
        <v>2606154.822404506</v>
      </c>
      <c r="AE58" s="256" t="s">
        <v>3</v>
      </c>
      <c r="AF58" s="282">
        <f>-SUM(AG58:AI58)</f>
        <v>-1862835.5404969798</v>
      </c>
      <c r="AG58" s="283">
        <f t="shared" si="9"/>
        <v>602943.9994541474</v>
      </c>
      <c r="AH58" s="284">
        <f t="shared" si="9"/>
        <v>630882.7077179009</v>
      </c>
      <c r="AI58" s="284">
        <f t="shared" si="9"/>
        <v>629008.8333249314</v>
      </c>
      <c r="AJ58" s="256" t="s">
        <v>3</v>
      </c>
      <c r="AK58" s="395">
        <f>AG58*AH58*AI58</f>
        <v>2.3926674721456173E+17</v>
      </c>
    </row>
    <row r="59" spans="4:37" ht="13.5" customHeight="1">
      <c r="D59" s="2"/>
      <c r="E59" s="2"/>
      <c r="F59" s="2"/>
      <c r="H59" s="75">
        <f>-H22</f>
        <v>39723.96946080851</v>
      </c>
      <c r="Q59" s="75">
        <f>U57-S59</f>
        <v>1057607.5698174937</v>
      </c>
      <c r="R59" s="10" t="s">
        <v>4</v>
      </c>
      <c r="S59" s="196">
        <f>-SUM(T59:V59)</f>
        <v>-750567.484476793</v>
      </c>
      <c r="T59" s="197">
        <f t="shared" si="8"/>
        <v>249355.78731509685</v>
      </c>
      <c r="U59" s="101">
        <f t="shared" si="8"/>
        <v>248464.4454163755</v>
      </c>
      <c r="V59" s="198">
        <f t="shared" si="8"/>
        <v>252747.25174532065</v>
      </c>
      <c r="W59" s="256" t="s">
        <v>4</v>
      </c>
      <c r="X59" s="444" t="s">
        <v>187</v>
      </c>
      <c r="Y59" s="2"/>
      <c r="Z59" s="2"/>
      <c r="AA59" s="2"/>
      <c r="AB59" s="2"/>
      <c r="AC59" s="435" t="s">
        <v>159</v>
      </c>
      <c r="AD59" s="74">
        <f>AH57-AF59</f>
        <v>2272333.234569556</v>
      </c>
      <c r="AE59" s="256" t="s">
        <v>4</v>
      </c>
      <c r="AF59" s="285">
        <f>-SUM(AG59:AI59)</f>
        <v>-1612639.2136718566</v>
      </c>
      <c r="AG59" s="286">
        <f t="shared" si="9"/>
        <v>535755.8502026713</v>
      </c>
      <c r="AH59" s="287">
        <f t="shared" si="9"/>
        <v>533840.7487249289</v>
      </c>
      <c r="AI59" s="288">
        <f t="shared" si="9"/>
        <v>543042.6147442563</v>
      </c>
      <c r="AJ59" s="256" t="s">
        <v>4</v>
      </c>
      <c r="AK59" s="395">
        <f>AG59*AH59*AI59</f>
        <v>1.553146973545724E+17</v>
      </c>
    </row>
    <row r="60" spans="4:37" ht="13.5" customHeight="1" thickBot="1">
      <c r="D60" s="361" t="s">
        <v>194</v>
      </c>
      <c r="E60" s="2"/>
      <c r="F60" s="576" t="s">
        <v>142</v>
      </c>
      <c r="H60" s="75">
        <f>-H23</f>
        <v>39392.102071708636</v>
      </c>
      <c r="N60" s="325"/>
      <c r="Q60" s="270">
        <f>V57+V60-S60</f>
        <v>25795.558575326926</v>
      </c>
      <c r="R60" s="10" t="s">
        <v>0</v>
      </c>
      <c r="S60" s="298">
        <f>-SUM(T60:U60)</f>
        <v>-40745.84886607381</v>
      </c>
      <c r="T60" s="37">
        <f t="shared" si="8"/>
        <v>25328.367005757726</v>
      </c>
      <c r="U60" s="38">
        <f t="shared" si="8"/>
        <v>15417.481860316084</v>
      </c>
      <c r="V60" s="39">
        <f t="shared" si="8"/>
        <v>-101408.57578949227</v>
      </c>
      <c r="W60" s="10" t="s">
        <v>0</v>
      </c>
      <c r="X60" s="443" t="s">
        <v>180</v>
      </c>
      <c r="Y60" s="2"/>
      <c r="Z60" s="2"/>
      <c r="AA60" s="2"/>
      <c r="AB60" s="2"/>
      <c r="AC60" s="439" t="s">
        <v>173</v>
      </c>
      <c r="AD60" s="270">
        <f>AI57+AI60-AF60</f>
        <v>55423.30324386404</v>
      </c>
      <c r="AE60" s="10" t="s">
        <v>0</v>
      </c>
      <c r="AF60" s="298">
        <f>-SUM(AG60:AH60)</f>
        <v>-87544.89774038328</v>
      </c>
      <c r="AG60" s="96">
        <f t="shared" si="9"/>
        <v>54419.5141629803</v>
      </c>
      <c r="AH60" s="97">
        <f t="shared" si="9"/>
        <v>33125.383577402994</v>
      </c>
      <c r="AI60" s="98">
        <f t="shared" si="9"/>
        <v>-217882.40138692828</v>
      </c>
      <c r="AJ60" s="10" t="s">
        <v>0</v>
      </c>
      <c r="AK60" s="396">
        <f>AG60*AH60</f>
        <v>1802667280.7446373</v>
      </c>
    </row>
    <row r="61" spans="4:32" ht="13.5" customHeight="1" thickBot="1">
      <c r="D61" s="360" t="s">
        <v>263</v>
      </c>
      <c r="E61" s="2"/>
      <c r="F61" s="413">
        <f>1/(1+Nu_1*Term1*Kappa1/Gamma1)</f>
        <v>0.43543983659011065</v>
      </c>
      <c r="H61" s="236"/>
      <c r="W61" s="2"/>
      <c r="X61" s="2"/>
      <c r="Y61" s="2"/>
      <c r="Z61" s="2"/>
      <c r="AF61" s="472" t="s">
        <v>207</v>
      </c>
    </row>
    <row r="62" spans="15:32" ht="13.5" customHeight="1">
      <c r="O62" s="2"/>
      <c r="P62" s="2"/>
      <c r="W62" s="2"/>
      <c r="X62" s="2"/>
      <c r="Y62" s="2"/>
      <c r="Z62" s="2"/>
      <c r="AA62" s="2"/>
      <c r="AB62" s="2"/>
      <c r="AC62" s="2"/>
      <c r="AF62" s="486" t="s">
        <v>167</v>
      </c>
    </row>
    <row r="63" spans="15:27" ht="13.5" customHeight="1">
      <c r="O63" s="2"/>
      <c r="Y63" s="2"/>
      <c r="Z63" s="2"/>
      <c r="AA63" s="2"/>
    </row>
    <row r="64" spans="4:36" ht="13.5" customHeight="1" thickBot="1">
      <c r="D64" s="413">
        <f>LN(1-Nu_1)*(1-Nu_1)^Term1+Nu_1*Kappa1/Gamma1</f>
        <v>0.38430815695309084</v>
      </c>
      <c r="F64" s="413">
        <f>Term1-(1/F58-1/F61)/D64</f>
        <v>8.341886582074647</v>
      </c>
      <c r="L64" s="2"/>
      <c r="O64" s="2"/>
      <c r="P64" s="2"/>
      <c r="Q64" s="2"/>
      <c r="R64" s="2"/>
      <c r="S64" s="406">
        <f>AF64/AF$51-S55</f>
        <v>88.98889943538234</v>
      </c>
      <c r="T64" s="6">
        <f>AG64/AG$51-AG5</f>
        <v>-1.549118716027806</v>
      </c>
      <c r="U64" s="6">
        <f>AH64/AH$51-AH5</f>
        <v>28.934435646788188</v>
      </c>
      <c r="V64" s="312">
        <f>AI64/AI$51-AI5</f>
        <v>-95.91267261742905</v>
      </c>
      <c r="W64" s="2"/>
      <c r="X64" s="2"/>
      <c r="Y64" s="2"/>
      <c r="Z64" s="2"/>
      <c r="AA64" s="2"/>
      <c r="AD64" s="2"/>
      <c r="AE64" s="2"/>
      <c r="AF64" s="77">
        <f>-SUM(AG64:AI64)</f>
        <v>4934102.558200491</v>
      </c>
      <c r="AG64" s="78">
        <f>-SUM(AG66:AG69)</f>
        <v>-1937888.3655761003</v>
      </c>
      <c r="AH64" s="78">
        <f>-SUM(AH66:AH69)</f>
        <v>-1854251.8481258228</v>
      </c>
      <c r="AI64" s="79">
        <f>-SUM(AI66:AI69)</f>
        <v>-1141962.3444985673</v>
      </c>
      <c r="AJ64" s="2"/>
    </row>
    <row r="65" spans="15:36" ht="13.5" customHeight="1">
      <c r="O65" s="2"/>
      <c r="P65" s="2"/>
      <c r="Q65" s="491" t="s">
        <v>268</v>
      </c>
      <c r="R65" s="100" t="s">
        <v>16</v>
      </c>
      <c r="S65" s="10" t="s">
        <v>2</v>
      </c>
      <c r="T65" s="10" t="s">
        <v>3</v>
      </c>
      <c r="U65" s="10" t="s">
        <v>4</v>
      </c>
      <c r="V65" s="10" t="s">
        <v>0</v>
      </c>
      <c r="W65" s="2"/>
      <c r="X65" s="2"/>
      <c r="Y65" s="2"/>
      <c r="Z65" s="2"/>
      <c r="AA65" s="2"/>
      <c r="AD65" s="50" t="s">
        <v>28</v>
      </c>
      <c r="AE65" s="365" t="s">
        <v>103</v>
      </c>
      <c r="AF65" s="256" t="s">
        <v>2</v>
      </c>
      <c r="AG65" s="256" t="s">
        <v>3</v>
      </c>
      <c r="AH65" s="256">
        <v>2</v>
      </c>
      <c r="AI65" s="256" t="s">
        <v>0</v>
      </c>
      <c r="AJ65" s="2"/>
    </row>
    <row r="66" spans="4:46" ht="13.5" customHeight="1">
      <c r="D66" s="443" t="s">
        <v>266</v>
      </c>
      <c r="Q66" s="54">
        <f>AD66/AD$51-AD57</f>
        <v>-195.06916063837707</v>
      </c>
      <c r="R66" s="10" t="s">
        <v>2</v>
      </c>
      <c r="S66" s="241">
        <f>AF66/AF$51-S57</f>
        <v>106550.141693883</v>
      </c>
      <c r="T66" s="56">
        <f aca="true" t="shared" si="10" ref="T66:V69">AG66/AG$51-AG7</f>
        <v>-100.33233551319734</v>
      </c>
      <c r="U66" s="57">
        <f t="shared" si="10"/>
        <v>-825.6154535186706</v>
      </c>
      <c r="V66" s="57">
        <f t="shared" si="10"/>
        <v>-8766</v>
      </c>
      <c r="W66" s="10" t="s">
        <v>2</v>
      </c>
      <c r="X66" s="2"/>
      <c r="Y66" s="2"/>
      <c r="Z66" s="2"/>
      <c r="AA66" s="2"/>
      <c r="AB66" s="2"/>
      <c r="AC66" s="2"/>
      <c r="AD66" s="54">
        <f>-SUM(AD67:AD69)</f>
        <v>-4934102.558200491</v>
      </c>
      <c r="AE66" s="10" t="s">
        <v>2</v>
      </c>
      <c r="AF66" s="54">
        <f>-AF64-SUM(AF67:AF69)</f>
        <v>-1141962.3444985677</v>
      </c>
      <c r="AG66" s="81">
        <f>T7*$AK30</f>
        <v>649424.7489950445</v>
      </c>
      <c r="AH66" s="82">
        <f>U7*$AK31</f>
        <v>565788.231544767</v>
      </c>
      <c r="AI66" s="82">
        <f>V7*$AK32</f>
        <v>0</v>
      </c>
      <c r="AJ66" s="10" t="s">
        <v>2</v>
      </c>
      <c r="AT66" s="320"/>
    </row>
    <row r="67" spans="3:46" ht="13.5" customHeight="1">
      <c r="C67" s="2"/>
      <c r="Q67" s="74">
        <f>AD67/AD$51-AD58</f>
        <v>-8453.788332237862</v>
      </c>
      <c r="R67" s="10" t="s">
        <v>3</v>
      </c>
      <c r="S67" s="393">
        <f>AF67/AF$51-S58</f>
        <v>-39765.568430989166</v>
      </c>
      <c r="T67" s="194">
        <f t="shared" si="10"/>
        <v>49.66766448680255</v>
      </c>
      <c r="U67" s="195">
        <f t="shared" si="10"/>
        <v>163.02078842717037</v>
      </c>
      <c r="V67" s="195">
        <f t="shared" si="10"/>
        <v>963.4212930060858</v>
      </c>
      <c r="W67" s="10" t="s">
        <v>3</v>
      </c>
      <c r="X67" s="328" t="s">
        <v>135</v>
      </c>
      <c r="Y67" s="2"/>
      <c r="Z67" s="2"/>
      <c r="AA67" s="2"/>
      <c r="AB67" s="2"/>
      <c r="AC67" s="2"/>
      <c r="AD67" s="74">
        <f>Q8*$AK30</f>
        <v>2597698.995980178</v>
      </c>
      <c r="AE67" s="256" t="s">
        <v>3</v>
      </c>
      <c r="AF67" s="282">
        <f aca="true" t="shared" si="11" ref="AF67:AI69">S8*$AK30</f>
        <v>-1948274.2469851335</v>
      </c>
      <c r="AG67" s="283">
        <f t="shared" si="11"/>
        <v>649424.7489950445</v>
      </c>
      <c r="AH67" s="284">
        <f t="shared" si="11"/>
        <v>649424.7489950445</v>
      </c>
      <c r="AI67" s="284">
        <f t="shared" si="11"/>
        <v>649424.7489950445</v>
      </c>
      <c r="AJ67" s="10" t="s">
        <v>3</v>
      </c>
      <c r="AT67" s="2"/>
    </row>
    <row r="68" spans="2:46" ht="13.5" customHeight="1">
      <c r="B68" s="2"/>
      <c r="P68" s="2"/>
      <c r="Q68" s="74">
        <f>AD68/AD$51-AD59</f>
        <v>-9178.532775189262</v>
      </c>
      <c r="R68" s="10" t="s">
        <v>4</v>
      </c>
      <c r="S68" s="405">
        <f>AF68/AF$51-S59</f>
        <v>-39433.613283081446</v>
      </c>
      <c r="T68" s="197">
        <f t="shared" si="10"/>
        <v>32.091527244552594</v>
      </c>
      <c r="U68" s="101">
        <f t="shared" si="10"/>
        <v>280.88082426897563</v>
      </c>
      <c r="V68" s="198">
        <f t="shared" si="10"/>
        <v>1073.359231212362</v>
      </c>
      <c r="W68" s="10" t="s">
        <v>4</v>
      </c>
      <c r="X68" s="328" t="s">
        <v>115</v>
      </c>
      <c r="Y68" s="2"/>
      <c r="Z68" s="2"/>
      <c r="AA68" s="2"/>
      <c r="AB68" s="2"/>
      <c r="AC68" s="2"/>
      <c r="AD68" s="74">
        <f>Q9*$AK31</f>
        <v>2263152.926179068</v>
      </c>
      <c r="AE68" s="256" t="s">
        <v>4</v>
      </c>
      <c r="AF68" s="285">
        <f t="shared" si="11"/>
        <v>-1697364.6946343011</v>
      </c>
      <c r="AG68" s="286">
        <f t="shared" si="11"/>
        <v>565788.231544767</v>
      </c>
      <c r="AH68" s="287">
        <f t="shared" si="11"/>
        <v>565788.231544767</v>
      </c>
      <c r="AI68" s="288">
        <f t="shared" si="11"/>
        <v>565788.231544767</v>
      </c>
      <c r="AJ68" s="10" t="s">
        <v>4</v>
      </c>
      <c r="AT68" s="2"/>
    </row>
    <row r="69" spans="8:51" ht="13.5" customHeight="1" thickBot="1">
      <c r="H69" s="2"/>
      <c r="L69" s="2"/>
      <c r="P69" s="2"/>
      <c r="Q69" s="237">
        <f>AD69/AD$51-AD60</f>
        <v>17827.39026806559</v>
      </c>
      <c r="R69" s="10" t="s">
        <v>0</v>
      </c>
      <c r="S69" s="298">
        <f>AF69/AF$51-S60</f>
        <v>-27439.948879247677</v>
      </c>
      <c r="T69" s="37">
        <f t="shared" si="10"/>
        <v>20.122262497870324</v>
      </c>
      <c r="U69" s="38">
        <f t="shared" si="10"/>
        <v>352.77940517573404</v>
      </c>
      <c r="V69" s="39">
        <f t="shared" si="10"/>
        <v>6825.132148398989</v>
      </c>
      <c r="W69" s="10" t="s">
        <v>0</v>
      </c>
      <c r="X69" s="328" t="s">
        <v>113</v>
      </c>
      <c r="Y69" s="2"/>
      <c r="Z69" s="2"/>
      <c r="AA69" s="2"/>
      <c r="AB69" s="2"/>
      <c r="AC69" s="2"/>
      <c r="AD69" s="237">
        <f>Q10*$AK32</f>
        <v>73250.63604124416</v>
      </c>
      <c r="AE69" s="10" t="s">
        <v>0</v>
      </c>
      <c r="AF69" s="95">
        <f t="shared" si="11"/>
        <v>-146501.2720824883</v>
      </c>
      <c r="AG69" s="96">
        <f t="shared" si="11"/>
        <v>73250.63604124416</v>
      </c>
      <c r="AH69" s="97">
        <f t="shared" si="11"/>
        <v>73250.63604124416</v>
      </c>
      <c r="AI69" s="98">
        <f t="shared" si="11"/>
        <v>-73250.63604124416</v>
      </c>
      <c r="AJ69" s="10" t="s">
        <v>0</v>
      </c>
      <c r="AT69" s="2"/>
      <c r="AU69" s="2"/>
      <c r="AV69" s="2"/>
      <c r="AW69" s="2"/>
      <c r="AX69" s="2"/>
      <c r="AY69" s="2"/>
    </row>
    <row r="70" spans="2:51" ht="13.5" customHeight="1">
      <c r="B70" s="2"/>
      <c r="C70" s="409"/>
      <c r="F70" s="2"/>
      <c r="L70" s="2"/>
      <c r="P70" s="2"/>
      <c r="W70" s="2"/>
      <c r="X70" s="2"/>
      <c r="Y70" s="2"/>
      <c r="Z70" s="2"/>
      <c r="AA70" s="2"/>
      <c r="AB70" s="2"/>
      <c r="AC70" s="2"/>
      <c r="AT70" s="2"/>
      <c r="AU70" s="2"/>
      <c r="AV70" s="2"/>
      <c r="AW70" s="2"/>
      <c r="AX70" s="2"/>
      <c r="AY70" s="2"/>
    </row>
    <row r="71" spans="2:51" ht="13.5" customHeight="1">
      <c r="B71" s="2"/>
      <c r="P71" s="2"/>
      <c r="W71" s="2"/>
      <c r="X71" s="2"/>
      <c r="Y71" s="2"/>
      <c r="Z71" s="2"/>
      <c r="AA71" s="2"/>
      <c r="AB71" s="2"/>
      <c r="AC71" s="2"/>
      <c r="AT71" s="2"/>
      <c r="AU71" s="2"/>
      <c r="AW71" s="2"/>
      <c r="AX71" s="2"/>
      <c r="AY71" s="2"/>
    </row>
    <row r="72" spans="2:51" ht="13.5" customHeight="1" thickBot="1">
      <c r="B72" s="2"/>
      <c r="F72" s="418">
        <f>3*F45/Term1</f>
        <v>0</v>
      </c>
      <c r="G72" s="10" t="s">
        <v>2</v>
      </c>
      <c r="O72" s="2"/>
      <c r="P72" s="2"/>
      <c r="Q72" s="313">
        <f>SUM(Q67:Q69)</f>
        <v>195.06916063846438</v>
      </c>
      <c r="R72" s="100" t="s">
        <v>55</v>
      </c>
      <c r="S72" s="5">
        <f>SUM(S67:S69)</f>
        <v>-106639.13059331829</v>
      </c>
      <c r="T72" s="6">
        <f>SUM(T67:T69)</f>
        <v>101.88145422922547</v>
      </c>
      <c r="U72" s="6">
        <f>SUM(U67:U69)</f>
        <v>796.68101787188</v>
      </c>
      <c r="V72" s="366">
        <f>SUM(V67:V68)</f>
        <v>2036.7805242184477</v>
      </c>
      <c r="W72" s="2"/>
      <c r="X72" s="7" t="s">
        <v>112</v>
      </c>
      <c r="Y72" s="2"/>
      <c r="Z72" s="2"/>
      <c r="AA72" s="2"/>
      <c r="AB72" s="2"/>
      <c r="AC72" s="2"/>
      <c r="AW72" s="2"/>
      <c r="AX72" s="2"/>
      <c r="AY72" s="2"/>
    </row>
    <row r="73" spans="6:51" ht="13.5" customHeight="1">
      <c r="F73" s="417"/>
      <c r="G73" s="256" t="s">
        <v>3</v>
      </c>
      <c r="P73" s="2"/>
      <c r="S73" s="10">
        <v>0</v>
      </c>
      <c r="T73" s="10">
        <v>1</v>
      </c>
      <c r="U73" s="10">
        <v>2</v>
      </c>
      <c r="V73" s="10" t="s">
        <v>0</v>
      </c>
      <c r="W73" s="2"/>
      <c r="X73" s="2"/>
      <c r="Y73" s="2"/>
      <c r="Z73" s="2"/>
      <c r="AA73" s="2"/>
      <c r="AB73" s="2"/>
      <c r="AC73" s="2"/>
      <c r="AV73" s="2"/>
      <c r="AW73" s="2"/>
      <c r="AX73" s="2"/>
      <c r="AY73" s="2"/>
    </row>
    <row r="74" spans="4:51" ht="13.5" customHeight="1">
      <c r="D74" s="408" t="s">
        <v>190</v>
      </c>
      <c r="F74" s="417"/>
      <c r="G74" s="256" t="s">
        <v>4</v>
      </c>
      <c r="O74" s="2"/>
      <c r="W74" s="2"/>
      <c r="X74" s="2"/>
      <c r="Y74" s="2"/>
      <c r="Z74" s="2"/>
      <c r="AA74" s="2"/>
      <c r="AB74" s="2"/>
      <c r="AC74" s="2"/>
      <c r="AU74" s="2"/>
      <c r="AV74" s="2"/>
      <c r="AW74" s="2"/>
      <c r="AX74" s="2"/>
      <c r="AY74" s="2"/>
    </row>
    <row r="75" spans="4:51" ht="13.5" customHeight="1" thickBot="1">
      <c r="D75" s="448" t="s">
        <v>157</v>
      </c>
      <c r="F75" s="346">
        <f>3*F48/Term1</f>
        <v>-13715.248404397185</v>
      </c>
      <c r="G75" s="256" t="s">
        <v>0</v>
      </c>
      <c r="O75" s="2"/>
      <c r="Q75" s="62">
        <f>Q47+Q15</f>
        <v>3.705711652641412</v>
      </c>
      <c r="R75" s="100" t="s">
        <v>54</v>
      </c>
      <c r="S75" s="5">
        <f>S47+S15-S83</f>
        <v>-106525.23259956294</v>
      </c>
      <c r="T75" s="6">
        <f>T47+T15-T83</f>
        <v>101.80043628255397</v>
      </c>
      <c r="U75" s="6">
        <f>U47+U15-U83</f>
        <v>796.0138909107033</v>
      </c>
      <c r="V75" s="243">
        <f>V47+X24+V15-V83</f>
        <v>2035.0914357500844</v>
      </c>
      <c r="W75" s="2"/>
      <c r="X75" s="7" t="s">
        <v>89</v>
      </c>
      <c r="Y75" s="2"/>
      <c r="Z75" s="2"/>
      <c r="AA75" s="2"/>
      <c r="AC75" s="2"/>
      <c r="AD75" s="2"/>
      <c r="AE75" s="2"/>
      <c r="AF75" s="77">
        <f>-SUM(AG75:AI75)</f>
        <v>0</v>
      </c>
      <c r="AG75" s="78"/>
      <c r="AH75" s="78"/>
      <c r="AI75" s="311"/>
      <c r="AT75" s="2"/>
      <c r="AU75" s="2"/>
      <c r="AV75" s="2"/>
      <c r="AW75" s="2"/>
      <c r="AX75" s="2"/>
      <c r="AY75" s="2"/>
    </row>
    <row r="76" spans="15:51" ht="13.5" customHeight="1">
      <c r="O76" s="2"/>
      <c r="Q76" s="2"/>
      <c r="R76" s="2"/>
      <c r="S76" s="10">
        <v>0</v>
      </c>
      <c r="T76" s="10">
        <v>1</v>
      </c>
      <c r="U76" s="10">
        <v>2</v>
      </c>
      <c r="V76" s="10" t="s">
        <v>0</v>
      </c>
      <c r="W76" s="2"/>
      <c r="X76" s="2"/>
      <c r="Y76" s="2"/>
      <c r="Z76" s="2"/>
      <c r="AC76" s="2"/>
      <c r="AD76" s="2"/>
      <c r="AE76" s="240" t="s">
        <v>140</v>
      </c>
      <c r="AF76" s="10" t="s">
        <v>2</v>
      </c>
      <c r="AG76" s="10">
        <v>1</v>
      </c>
      <c r="AH76" s="10" t="s">
        <v>4</v>
      </c>
      <c r="AI76" s="10" t="s">
        <v>0</v>
      </c>
      <c r="AT76" s="2"/>
      <c r="AU76" s="2"/>
      <c r="AV76" s="2"/>
      <c r="AW76" s="2"/>
      <c r="AX76" s="2"/>
      <c r="AY76" s="2"/>
    </row>
    <row r="77" spans="15:51" ht="13.5" customHeight="1">
      <c r="O77" s="2"/>
      <c r="Y77" s="2"/>
      <c r="Z77" s="2"/>
      <c r="AC77" s="2"/>
      <c r="AD77" s="54">
        <f>-AF75</f>
        <v>0</v>
      </c>
      <c r="AE77" s="10" t="s">
        <v>2</v>
      </c>
      <c r="AF77" s="54">
        <f>-SUM(AG77:AI77)</f>
        <v>0</v>
      </c>
      <c r="AG77" s="81">
        <v>0</v>
      </c>
      <c r="AH77" s="82">
        <v>0</v>
      </c>
      <c r="AI77" s="82">
        <v>0</v>
      </c>
      <c r="AJ77" s="10" t="s">
        <v>2</v>
      </c>
      <c r="AT77" s="325"/>
      <c r="AU77" s="2"/>
      <c r="AV77" s="2"/>
      <c r="AW77" s="2"/>
      <c r="AX77" s="2"/>
      <c r="AY77" s="2"/>
    </row>
    <row r="78" spans="15:51" ht="13.5" customHeight="1">
      <c r="O78" s="2"/>
      <c r="W78" s="2"/>
      <c r="X78" s="7" t="s">
        <v>148</v>
      </c>
      <c r="Y78" s="2"/>
      <c r="Z78" s="2"/>
      <c r="AC78" s="401" t="s">
        <v>259</v>
      </c>
      <c r="AD78" s="74">
        <f>AG77-AF78</f>
        <v>-3.4645392998911317</v>
      </c>
      <c r="AE78" s="10" t="s">
        <v>3</v>
      </c>
      <c r="AF78" s="282">
        <f>-SUM(AG78:AI78)</f>
        <v>3.4645392998911317</v>
      </c>
      <c r="AG78" s="283">
        <v>0</v>
      </c>
      <c r="AH78" s="284">
        <f>(AD47-AD46)*(V0_1-Nu_1)*(D22+D23)</f>
        <v>-3.4645392998911317</v>
      </c>
      <c r="AI78" s="284"/>
      <c r="AJ78" s="10" t="s">
        <v>3</v>
      </c>
      <c r="AT78" s="325"/>
      <c r="AU78" s="2"/>
      <c r="AV78" s="2"/>
      <c r="AW78" s="2"/>
      <c r="AX78" s="2"/>
      <c r="AY78" s="2"/>
    </row>
    <row r="79" spans="18:51" ht="13.5" customHeight="1" thickBot="1">
      <c r="R79" s="100" t="s">
        <v>138</v>
      </c>
      <c r="S79" s="563">
        <f>'Econ 0'!L10/'Econ 0'!L15</f>
        <v>0.9989319305856903</v>
      </c>
      <c r="T79" s="367">
        <f>IF(T72&gt;T75,T75/T72,1)</f>
        <v>0.9992047821923585</v>
      </c>
      <c r="U79" s="367">
        <f>IF(U72&gt;U75,U75/U72,1)</f>
        <v>0.9991626172254501</v>
      </c>
      <c r="V79" s="404">
        <f>IF(V72&gt;V75,V75/V72,1)</f>
        <v>0.9991707066872061</v>
      </c>
      <c r="W79" s="2"/>
      <c r="X79" s="7" t="s">
        <v>153</v>
      </c>
      <c r="AC79" s="401" t="s">
        <v>261</v>
      </c>
      <c r="AD79" s="74">
        <f>AH77-AF79</f>
        <v>3.4645392998911317</v>
      </c>
      <c r="AE79" s="10" t="s">
        <v>4</v>
      </c>
      <c r="AF79" s="285">
        <f>-SUM(AG79:AI79)</f>
        <v>-3.4645392998911317</v>
      </c>
      <c r="AG79" s="286">
        <f>-AH78</f>
        <v>3.4645392998911317</v>
      </c>
      <c r="AH79" s="287">
        <v>0</v>
      </c>
      <c r="AI79" s="288"/>
      <c r="AJ79" s="10" t="s">
        <v>4</v>
      </c>
      <c r="AT79" s="325"/>
      <c r="AU79" s="2"/>
      <c r="AV79" s="2"/>
      <c r="AW79" s="2"/>
      <c r="AX79" s="2"/>
      <c r="AY79" s="2"/>
    </row>
    <row r="80" spans="19:51" ht="13.5" customHeight="1" thickBot="1">
      <c r="S80" s="256" t="s">
        <v>2</v>
      </c>
      <c r="T80" s="256" t="s">
        <v>3</v>
      </c>
      <c r="U80" s="10">
        <v>2</v>
      </c>
      <c r="V80" s="256" t="s">
        <v>0</v>
      </c>
      <c r="W80" s="2"/>
      <c r="X80" s="2"/>
      <c r="AD80" s="237">
        <f>AI77-AF80</f>
        <v>0</v>
      </c>
      <c r="AE80" s="10" t="s">
        <v>0</v>
      </c>
      <c r="AF80" s="95">
        <f>-SUM(AG80:AI80)</f>
        <v>0</v>
      </c>
      <c r="AG80" s="96"/>
      <c r="AH80" s="97"/>
      <c r="AI80" s="98"/>
      <c r="AJ80" s="10" t="s">
        <v>0</v>
      </c>
      <c r="AS80" s="2"/>
      <c r="AT80" s="2"/>
      <c r="AU80" s="2"/>
      <c r="AV80" s="2"/>
      <c r="AW80" s="2"/>
      <c r="AX80" s="2"/>
      <c r="AY80" s="2"/>
    </row>
    <row r="81" spans="29:51" ht="13.5" customHeight="1">
      <c r="AC81" s="2"/>
      <c r="AL81" s="333" t="s">
        <v>117</v>
      </c>
      <c r="AS81" s="2"/>
      <c r="AT81" s="2"/>
      <c r="AU81" s="2"/>
      <c r="AV81" s="2"/>
      <c r="AW81" s="2"/>
      <c r="AX81" s="2"/>
      <c r="AY81" s="2"/>
    </row>
    <row r="82" spans="13:51" ht="13.5" customHeight="1">
      <c r="M82" s="2"/>
      <c r="O82" s="2"/>
      <c r="R82" s="2"/>
      <c r="T82" s="2"/>
      <c r="U82" s="2"/>
      <c r="V82" s="2"/>
      <c r="W82" s="2"/>
      <c r="X82" s="429" t="s">
        <v>188</v>
      </c>
      <c r="Y82" s="2"/>
      <c r="Z82" s="2"/>
      <c r="AC82" s="2"/>
      <c r="AD82" s="2"/>
      <c r="AL82" s="333" t="s">
        <v>118</v>
      </c>
      <c r="AT82" s="2"/>
      <c r="AU82" s="2"/>
      <c r="AV82" s="2"/>
      <c r="AW82" s="2"/>
      <c r="AX82" s="2"/>
      <c r="AY82" s="2"/>
    </row>
    <row r="83" spans="4:51" ht="13.5" customHeight="1" thickBot="1">
      <c r="D83" s="2"/>
      <c r="E83" s="2"/>
      <c r="F83" s="2"/>
      <c r="H83" s="468">
        <f>H27+DT*(S83-H$10*H27*3)</f>
        <v>0.587293641091206</v>
      </c>
      <c r="I83" s="44">
        <f>I27+DT*(T83-I$10*I27*3)</f>
        <v>-4.873269743540526</v>
      </c>
      <c r="J83" s="44">
        <f>J27+DT*(U83-J$10*J27*3)</f>
        <v>29.606993120852124</v>
      </c>
      <c r="K83" s="387">
        <f>K27+DT*(V83-K$10*K27*3)</f>
        <v>-31.419054880005486</v>
      </c>
      <c r="M83" s="2"/>
      <c r="R83" s="2"/>
      <c r="S83" s="507">
        <f>'Econ 0'!L42</f>
        <v>1.7247420562139268</v>
      </c>
      <c r="T83" s="508">
        <f>'Econ 0'!M42</f>
        <v>-1.4681007693566528</v>
      </c>
      <c r="U83" s="508">
        <f>'Econ 0'!N42</f>
        <v>29.60156260796748</v>
      </c>
      <c r="V83" s="509">
        <f>'Econ 0'!O42</f>
        <v>-94.22358414907058</v>
      </c>
      <c r="W83" s="2"/>
      <c r="X83" s="327" t="s">
        <v>114</v>
      </c>
      <c r="Y83" s="2"/>
      <c r="Z83" s="2"/>
      <c r="AC83" s="2"/>
      <c r="AD83" s="2"/>
      <c r="AE83" s="2"/>
      <c r="AF83" s="77">
        <f>-SUM(AG83:AI83)</f>
        <v>3.705711652641412</v>
      </c>
      <c r="AG83" s="78">
        <f>AG$51*T83</f>
        <v>-1373.900401123086</v>
      </c>
      <c r="AH83" s="78">
        <f>AH$51*U83</f>
        <v>3366.892045121563</v>
      </c>
      <c r="AI83" s="311">
        <f>AI$51*V83</f>
        <v>-1996.6973556511184</v>
      </c>
      <c r="AJ83" s="2"/>
      <c r="AU83" s="2"/>
      <c r="AV83" s="2"/>
      <c r="AW83" s="2"/>
      <c r="AX83" s="2"/>
      <c r="AY83" s="2"/>
    </row>
    <row r="84" spans="4:51" ht="13.5" customHeight="1">
      <c r="D84" s="394"/>
      <c r="F84" s="394"/>
      <c r="G84" s="100" t="s">
        <v>93</v>
      </c>
      <c r="H84" s="10" t="s">
        <v>2</v>
      </c>
      <c r="I84" s="10" t="s">
        <v>3</v>
      </c>
      <c r="J84" s="10" t="s">
        <v>4</v>
      </c>
      <c r="K84" s="10" t="s">
        <v>0</v>
      </c>
      <c r="L84" s="2"/>
      <c r="M84" s="2"/>
      <c r="P84" s="401" t="s">
        <v>170</v>
      </c>
      <c r="Q84" s="50" t="s">
        <v>29</v>
      </c>
      <c r="R84" s="100" t="s">
        <v>104</v>
      </c>
      <c r="S84" s="256" t="s">
        <v>2</v>
      </c>
      <c r="T84" s="256" t="s">
        <v>3</v>
      </c>
      <c r="U84" s="256" t="s">
        <v>4</v>
      </c>
      <c r="V84" s="256" t="s">
        <v>0</v>
      </c>
      <c r="W84" s="2"/>
      <c r="X84" s="325"/>
      <c r="Y84" s="2"/>
      <c r="Z84" s="2"/>
      <c r="AC84" s="2"/>
      <c r="AD84" s="562" t="s">
        <v>258</v>
      </c>
      <c r="AE84" s="354" t="s">
        <v>110</v>
      </c>
      <c r="AF84" s="10" t="s">
        <v>2</v>
      </c>
      <c r="AG84" s="10">
        <v>1</v>
      </c>
      <c r="AH84" s="10" t="s">
        <v>4</v>
      </c>
      <c r="AI84" s="10" t="s">
        <v>0</v>
      </c>
      <c r="AJ84" s="2"/>
      <c r="AU84" s="2"/>
      <c r="AV84" s="2"/>
      <c r="AW84" s="2"/>
      <c r="AX84" s="2"/>
      <c r="AY84" s="2"/>
    </row>
    <row r="85" spans="3:51" ht="13.5" customHeight="1">
      <c r="C85" s="10" t="s">
        <v>2</v>
      </c>
      <c r="D85" s="177">
        <f>D29+DT*(D78-D80)</f>
        <v>0</v>
      </c>
      <c r="F85" s="177">
        <f>F29+DT*(F72-3*F29/Term1+F78-F80)</f>
        <v>0</v>
      </c>
      <c r="G85" s="10" t="s">
        <v>2</v>
      </c>
      <c r="H85" s="464">
        <f>H29+DT*(S85-H$10*H29*3)</f>
        <v>35508.09634188526</v>
      </c>
      <c r="I85" s="52">
        <f aca="true" t="shared" si="12" ref="H85:K88">I29+DT*(T85-I$10*I29*3)</f>
        <v>-334.42462982095236</v>
      </c>
      <c r="J85" s="53">
        <f t="shared" si="12"/>
        <v>-825.6048057294962</v>
      </c>
      <c r="K85" s="53">
        <f t="shared" si="12"/>
        <v>-2922</v>
      </c>
      <c r="L85" s="10" t="s">
        <v>2</v>
      </c>
      <c r="M85" s="2"/>
      <c r="P85" s="440" t="s">
        <v>133</v>
      </c>
      <c r="Q85" s="418">
        <f>AD77+AD85</f>
        <v>-3.705711652641412</v>
      </c>
      <c r="R85" s="10" t="s">
        <v>2</v>
      </c>
      <c r="S85" s="579">
        <f>-S83-SUM(S86:S88)</f>
        <v>106523.50785750676</v>
      </c>
      <c r="T85" s="330">
        <f>-T47</f>
        <v>-100.33233551319734</v>
      </c>
      <c r="U85" s="331">
        <f>-U47</f>
        <v>-825.6154535186706</v>
      </c>
      <c r="V85" s="332">
        <f>-V47</f>
        <v>-8766</v>
      </c>
      <c r="W85" s="10" t="s">
        <v>2</v>
      </c>
      <c r="X85" s="347" t="s">
        <v>152</v>
      </c>
      <c r="Y85" s="419"/>
      <c r="Z85" s="419"/>
      <c r="AC85" s="2"/>
      <c r="AD85" s="54">
        <f>-AF83</f>
        <v>-3.705711652641412</v>
      </c>
      <c r="AE85" s="10" t="s">
        <v>2</v>
      </c>
      <c r="AF85" s="54">
        <f>-SUM(AG85:AI85)</f>
        <v>228929.36381013933</v>
      </c>
      <c r="AG85" s="81">
        <f>-AG83-SUM(AG86:AG88)</f>
        <v>-93894.53291248165</v>
      </c>
      <c r="AH85" s="82">
        <f>-AH83-SUM(AH86:AH88)</f>
        <v>-93905.78935293273</v>
      </c>
      <c r="AI85" s="82">
        <f>-AI83-SUM(AI86:AI88)</f>
        <v>-41129.041544724954</v>
      </c>
      <c r="AJ85" s="10" t="s">
        <v>2</v>
      </c>
      <c r="AK85" s="2"/>
      <c r="AU85" s="2"/>
      <c r="AV85" s="2"/>
      <c r="AW85" s="2"/>
      <c r="AX85" s="2"/>
      <c r="AY85" s="2"/>
    </row>
    <row r="86" spans="3:51" ht="13.5" customHeight="1">
      <c r="C86" s="10" t="s">
        <v>3</v>
      </c>
      <c r="D86" s="223">
        <f>D30+DT*(Q86-Q22)</f>
        <v>81457.94452875626</v>
      </c>
      <c r="F86" s="223"/>
      <c r="G86" s="10" t="s">
        <v>3</v>
      </c>
      <c r="H86" s="465">
        <f t="shared" si="12"/>
        <v>-13241.170689555343</v>
      </c>
      <c r="I86" s="60">
        <f t="shared" si="12"/>
        <v>165.40166146226392</v>
      </c>
      <c r="J86" s="61">
        <f t="shared" si="12"/>
        <v>162.8866448155191</v>
      </c>
      <c r="K86" s="61">
        <f t="shared" si="12"/>
        <v>320.8826864755099</v>
      </c>
      <c r="L86" s="256" t="s">
        <v>3</v>
      </c>
      <c r="M86" s="2"/>
      <c r="Q86" s="417">
        <f>AD78+AD86</f>
        <v>-8528.71085168539</v>
      </c>
      <c r="R86" s="10" t="s">
        <v>3</v>
      </c>
      <c r="S86" s="564">
        <f>S$79*S67</f>
        <v>-39723.09604360539</v>
      </c>
      <c r="T86" s="319">
        <f aca="true" t="shared" si="13" ref="T86:V87">T$79*T67</f>
        <v>49.628167875538686</v>
      </c>
      <c r="U86" s="304">
        <f t="shared" si="13"/>
        <v>162.8842776270479</v>
      </c>
      <c r="V86" s="301">
        <f t="shared" si="13"/>
        <v>962.6223341703926</v>
      </c>
      <c r="W86" s="10" t="s">
        <v>3</v>
      </c>
      <c r="X86" s="2"/>
      <c r="Y86" s="419"/>
      <c r="Z86" s="419"/>
      <c r="AC86" s="401" t="s">
        <v>169</v>
      </c>
      <c r="AD86" s="74">
        <f>AG85-AF86</f>
        <v>-8525.246312385498</v>
      </c>
      <c r="AE86" s="10" t="s">
        <v>3</v>
      </c>
      <c r="AF86" s="282">
        <f>-SUM(AG86:AI86)</f>
        <v>-85369.28660009615</v>
      </c>
      <c r="AG86" s="283">
        <f aca="true" t="shared" si="14" ref="AG86:AI87">AG$51*T86</f>
        <v>46443.787221149636</v>
      </c>
      <c r="AH86" s="284">
        <f t="shared" si="14"/>
        <v>18526.514491173184</v>
      </c>
      <c r="AI86" s="284">
        <f t="shared" si="14"/>
        <v>20398.98488777334</v>
      </c>
      <c r="AJ86" s="10" t="s">
        <v>3</v>
      </c>
      <c r="AU86" s="2"/>
      <c r="AV86" s="2"/>
      <c r="AW86" s="2"/>
      <c r="AX86" s="2"/>
      <c r="AY86" s="2"/>
    </row>
    <row r="87" spans="3:51" ht="13.5" customHeight="1">
      <c r="C87" s="10" t="s">
        <v>4</v>
      </c>
      <c r="D87" s="223">
        <f>D31+DT*(Q87-Q23)</f>
        <v>88307.6480362629</v>
      </c>
      <c r="F87" s="223"/>
      <c r="G87" s="10" t="s">
        <v>4</v>
      </c>
      <c r="H87" s="466">
        <f t="shared" si="12"/>
        <v>-13130.595316290925</v>
      </c>
      <c r="I87" s="224">
        <f t="shared" si="12"/>
        <v>106.87381755472946</v>
      </c>
      <c r="J87" s="225">
        <f t="shared" si="12"/>
        <v>280.6381887408119</v>
      </c>
      <c r="K87" s="226">
        <f t="shared" si="12"/>
        <v>357.49538100772975</v>
      </c>
      <c r="L87" s="256" t="s">
        <v>4</v>
      </c>
      <c r="M87" s="2"/>
      <c r="Q87" s="417">
        <f>AD79+AD87</f>
        <v>-9246.3411953489</v>
      </c>
      <c r="R87" s="10" t="s">
        <v>4</v>
      </c>
      <c r="S87" s="565">
        <f>S$79*S68</f>
        <v>-39391.49544683807</v>
      </c>
      <c r="T87" s="302">
        <f t="shared" si="13"/>
        <v>32.066007490613316</v>
      </c>
      <c r="U87" s="303">
        <f t="shared" si="13"/>
        <v>280.6456195050314</v>
      </c>
      <c r="V87" s="304">
        <f t="shared" si="13"/>
        <v>1072.4691015796918</v>
      </c>
      <c r="W87" s="10" t="s">
        <v>4</v>
      </c>
      <c r="X87" s="328" t="s">
        <v>115</v>
      </c>
      <c r="Y87" s="2"/>
      <c r="Z87" s="2"/>
      <c r="AC87" s="401" t="s">
        <v>185</v>
      </c>
      <c r="AD87" s="74">
        <f>AH85-AF87</f>
        <v>-9249.805734648791</v>
      </c>
      <c r="AE87" s="10" t="s">
        <v>4</v>
      </c>
      <c r="AF87" s="285">
        <f>-SUM(AG87:AI87)</f>
        <v>-84655.98361828394</v>
      </c>
      <c r="AG87" s="286">
        <f t="shared" si="14"/>
        <v>30008.499057646706</v>
      </c>
      <c r="AH87" s="287">
        <f t="shared" si="14"/>
        <v>31920.73054803449</v>
      </c>
      <c r="AI87" s="288">
        <f t="shared" si="14"/>
        <v>22726.754012602738</v>
      </c>
      <c r="AJ87" s="10" t="s">
        <v>4</v>
      </c>
      <c r="AU87" s="2"/>
      <c r="AV87" s="2"/>
      <c r="AW87" s="2"/>
      <c r="AX87" s="2"/>
      <c r="AY87" s="2"/>
    </row>
    <row r="88" spans="3:51" ht="13.5" customHeight="1" thickBot="1">
      <c r="C88" s="10" t="s">
        <v>0</v>
      </c>
      <c r="D88" s="235"/>
      <c r="F88" s="235">
        <f>F32+DT*(F75-3*F32/Term1+Q88-F$10*F24)</f>
        <v>-38171.31516938</v>
      </c>
      <c r="G88" s="10" t="s">
        <v>0</v>
      </c>
      <c r="H88" s="467">
        <f t="shared" si="12"/>
        <v>-9136.917629680102</v>
      </c>
      <c r="I88" s="227">
        <f t="shared" si="12"/>
        <v>67.02242054749976</v>
      </c>
      <c r="J88" s="228">
        <f t="shared" si="12"/>
        <v>352.47297905231267</v>
      </c>
      <c r="K88" s="229">
        <f t="shared" si="12"/>
        <v>2275.040987396766</v>
      </c>
      <c r="L88" s="10" t="s">
        <v>0</v>
      </c>
      <c r="N88" s="2"/>
      <c r="P88" s="401" t="s">
        <v>129</v>
      </c>
      <c r="Q88" s="346">
        <f>AD80+AD88</f>
        <v>17778.75775868693</v>
      </c>
      <c r="R88" s="10" t="s">
        <v>0</v>
      </c>
      <c r="S88" s="566">
        <f>S$79*S69</f>
        <v>-27410.64110911953</v>
      </c>
      <c r="T88" s="305">
        <f>T$79*T69</f>
        <v>20.106260916401983</v>
      </c>
      <c r="U88" s="306">
        <f>U$79*U69</f>
        <v>352.4839937786239</v>
      </c>
      <c r="V88" s="307">
        <f>-V83-SUM(V85:V87)</f>
        <v>6825.132148398987</v>
      </c>
      <c r="W88" s="10" t="s">
        <v>0</v>
      </c>
      <c r="X88" s="328" t="s">
        <v>113</v>
      </c>
      <c r="Y88" s="445"/>
      <c r="Z88" s="445"/>
      <c r="AD88" s="237">
        <f>AI85-AF88</f>
        <v>17778.75775868693</v>
      </c>
      <c r="AE88" s="10" t="s">
        <v>0</v>
      </c>
      <c r="AF88" s="95">
        <f>-SUM(AG88:AI88)</f>
        <v>-58907.799303411884</v>
      </c>
      <c r="AG88" s="96">
        <f>AG$51*T88</f>
        <v>18816.1470348084</v>
      </c>
      <c r="AH88" s="97">
        <f>AH$51*U88</f>
        <v>40091.65226860348</v>
      </c>
      <c r="AI88" s="308">
        <v>0</v>
      </c>
      <c r="AJ88" s="10" t="s">
        <v>0</v>
      </c>
      <c r="AK88" s="2"/>
      <c r="AU88" s="2"/>
      <c r="AV88" s="2"/>
      <c r="AW88" s="2"/>
      <c r="AX88" s="2"/>
      <c r="AY88" s="2"/>
    </row>
    <row r="89" spans="2:51" ht="13.5" customHeight="1">
      <c r="B89" s="2"/>
      <c r="C89" s="2"/>
      <c r="F89" s="2"/>
      <c r="G89" s="2"/>
      <c r="H89" s="2"/>
      <c r="I89" s="2"/>
      <c r="J89" s="2"/>
      <c r="K89" s="2"/>
      <c r="L89" s="2"/>
      <c r="N89" s="2"/>
      <c r="P89" s="441" t="s">
        <v>171</v>
      </c>
      <c r="AU89" s="2"/>
      <c r="AV89" s="2"/>
      <c r="AW89" s="2"/>
      <c r="AX89" s="2"/>
      <c r="AY89" s="2"/>
    </row>
    <row r="90" spans="2:51" ht="13.5" customHeight="1">
      <c r="B90" s="2"/>
      <c r="C90" s="2"/>
      <c r="F90" s="2"/>
      <c r="G90" s="2"/>
      <c r="H90" s="2"/>
      <c r="I90" s="2"/>
      <c r="J90" s="2"/>
      <c r="K90" s="2"/>
      <c r="M90" s="2"/>
      <c r="AD90" s="2"/>
      <c r="AT90" s="325"/>
      <c r="AU90" s="2"/>
      <c r="AV90" s="2"/>
      <c r="AW90" s="2"/>
      <c r="AX90" s="2"/>
      <c r="AY90" s="2"/>
    </row>
    <row r="91" spans="3:51" ht="13.5" customHeight="1" thickBot="1">
      <c r="C91" s="2"/>
      <c r="F91" s="2"/>
      <c r="G91" s="2"/>
      <c r="H91" s="468">
        <f>H35+DT*H$10*3*(H27-H35)</f>
        <v>0.6001462526119957</v>
      </c>
      <c r="I91" s="44">
        <f>I35+DT*I$10*3*(I27-I35)</f>
        <v>-4.849132751780924</v>
      </c>
      <c r="J91" s="44">
        <f>J35+DT*J$10*3*(J27-J35)</f>
        <v>29.61260718717065</v>
      </c>
      <c r="K91" s="387">
        <f>K35+DT*K$10*3*(K27-K35)</f>
        <v>-31.43084724550123</v>
      </c>
      <c r="M91" s="2"/>
      <c r="Q91" s="378">
        <f>GPE!C8</f>
        <v>-0.28861114475876093</v>
      </c>
      <c r="S91" s="377">
        <f>GPE!E8</f>
        <v>0</v>
      </c>
      <c r="T91" s="378">
        <f>GPE!F8</f>
        <v>0</v>
      </c>
      <c r="U91" s="378">
        <f>GPE!G8</f>
        <v>0</v>
      </c>
      <c r="V91" s="378">
        <f>GPE!H8</f>
        <v>0</v>
      </c>
      <c r="W91" s="2"/>
      <c r="X91" s="2"/>
      <c r="Y91" s="2"/>
      <c r="Z91" s="2"/>
      <c r="AT91" s="325"/>
      <c r="AU91" s="2"/>
      <c r="AV91" s="2"/>
      <c r="AW91" s="2"/>
      <c r="AX91" s="2"/>
      <c r="AY91" s="2"/>
    </row>
    <row r="92" spans="7:51" ht="13.5" customHeight="1">
      <c r="G92" s="100" t="s">
        <v>94</v>
      </c>
      <c r="H92" s="10" t="s">
        <v>2</v>
      </c>
      <c r="I92" s="10" t="s">
        <v>3</v>
      </c>
      <c r="J92" s="10" t="s">
        <v>4</v>
      </c>
      <c r="K92" s="10" t="s">
        <v>0</v>
      </c>
      <c r="L92" s="2"/>
      <c r="M92" s="2"/>
      <c r="Q92" s="427" t="s">
        <v>29</v>
      </c>
      <c r="R92" s="359" t="s">
        <v>111</v>
      </c>
      <c r="S92" s="181" t="s">
        <v>2</v>
      </c>
      <c r="T92" s="181" t="s">
        <v>3</v>
      </c>
      <c r="U92" s="181" t="s">
        <v>4</v>
      </c>
      <c r="V92" s="181" t="s">
        <v>0</v>
      </c>
      <c r="AU92" s="2"/>
      <c r="AV92" s="2"/>
      <c r="AW92" s="2"/>
      <c r="AX92" s="2"/>
      <c r="AY92" s="2"/>
    </row>
    <row r="93" spans="6:51" ht="13.5" customHeight="1">
      <c r="F93" s="573">
        <f>F37+DT*(F29-F37)/Term1</f>
        <v>0</v>
      </c>
      <c r="G93" s="10" t="s">
        <v>2</v>
      </c>
      <c r="H93" s="464">
        <f aca="true" t="shared" si="15" ref="H93:K96">H37+DT*H$10*3*(H29-H37)</f>
        <v>35508.37101378395</v>
      </c>
      <c r="I93" s="52">
        <f t="shared" si="15"/>
        <v>-334.4007504411305</v>
      </c>
      <c r="J93" s="53">
        <f t="shared" si="15"/>
        <v>-825.5932181414744</v>
      </c>
      <c r="K93" s="53">
        <f t="shared" si="15"/>
        <v>-2922</v>
      </c>
      <c r="L93" s="10" t="s">
        <v>2</v>
      </c>
      <c r="Q93" s="381">
        <f>GPE!C10</f>
        <v>0</v>
      </c>
      <c r="R93" s="181" t="s">
        <v>2</v>
      </c>
      <c r="S93" s="379">
        <f>GPE!E10</f>
        <v>104588.82611424987</v>
      </c>
      <c r="T93" s="379">
        <f>GPE!F10</f>
        <v>-100</v>
      </c>
      <c r="U93" s="379">
        <f>GPE!G10</f>
        <v>-750</v>
      </c>
      <c r="V93" s="379">
        <f>GPE!H10</f>
        <v>-8766</v>
      </c>
      <c r="W93" s="425" t="s">
        <v>2</v>
      </c>
      <c r="AU93" s="2"/>
      <c r="AV93" s="2"/>
      <c r="AW93" s="2"/>
      <c r="AX93" s="2"/>
      <c r="AY93" s="2"/>
    </row>
    <row r="94" spans="2:51" ht="13.5" customHeight="1">
      <c r="B94" s="2"/>
      <c r="C94" s="2"/>
      <c r="F94" s="223"/>
      <c r="G94" s="10" t="s">
        <v>3</v>
      </c>
      <c r="H94" s="465">
        <f t="shared" si="15"/>
        <v>-13241.317416262213</v>
      </c>
      <c r="I94" s="60">
        <f t="shared" si="15"/>
        <v>165.36606664201133</v>
      </c>
      <c r="J94" s="61">
        <f t="shared" si="15"/>
        <v>162.8894597254469</v>
      </c>
      <c r="K94" s="61">
        <f t="shared" si="15"/>
        <v>320.89174540099214</v>
      </c>
      <c r="L94" s="256" t="s">
        <v>3</v>
      </c>
      <c r="Q94" s="380">
        <f>GPE!C11</f>
        <v>-8035.153797865685</v>
      </c>
      <c r="R94" s="181" t="s">
        <v>3</v>
      </c>
      <c r="S94" s="379">
        <f>GPE!E11</f>
        <v>-40175.76898932832</v>
      </c>
      <c r="T94" s="380">
        <f>GPE!F11</f>
        <v>50</v>
      </c>
      <c r="U94" s="380">
        <f>GPE!G11</f>
        <v>150</v>
      </c>
      <c r="V94" s="380">
        <f>GPE!H11</f>
        <v>1000</v>
      </c>
      <c r="W94" s="426" t="s">
        <v>3</v>
      </c>
      <c r="AU94" s="2"/>
      <c r="AV94" s="2"/>
      <c r="AW94" s="2"/>
      <c r="AX94" s="2"/>
      <c r="AY94" s="2"/>
    </row>
    <row r="95" spans="2:51" ht="13.5" customHeight="1">
      <c r="B95" s="420" t="s">
        <v>189</v>
      </c>
      <c r="C95" s="2"/>
      <c r="F95" s="223"/>
      <c r="G95" s="10" t="s">
        <v>4</v>
      </c>
      <c r="H95" s="466">
        <f t="shared" si="15"/>
        <v>-13130.696994237212</v>
      </c>
      <c r="I95" s="224">
        <f t="shared" si="15"/>
        <v>106.85926870286151</v>
      </c>
      <c r="J95" s="225">
        <f t="shared" si="15"/>
        <v>280.6301848845646</v>
      </c>
      <c r="K95" s="226">
        <f t="shared" si="15"/>
        <v>357.5013574877058</v>
      </c>
      <c r="L95" s="256" t="s">
        <v>4</v>
      </c>
      <c r="M95" s="233"/>
      <c r="Q95" s="380">
        <f>GPE!C12</f>
        <v>-7344.632768361582</v>
      </c>
      <c r="R95" s="181" t="s">
        <v>4</v>
      </c>
      <c r="S95" s="379">
        <f>GPE!E12</f>
        <v>-36723.16384180792</v>
      </c>
      <c r="T95" s="380">
        <f>GPE!F12</f>
        <v>30</v>
      </c>
      <c r="U95" s="380">
        <f>GPE!G12</f>
        <v>250</v>
      </c>
      <c r="V95" s="380">
        <f>GPE!H12</f>
        <v>1000</v>
      </c>
      <c r="W95" s="426" t="s">
        <v>4</v>
      </c>
      <c r="AU95" s="2"/>
      <c r="AV95" s="2"/>
      <c r="AW95" s="2"/>
      <c r="AX95" s="2"/>
      <c r="AY95" s="2"/>
    </row>
    <row r="96" spans="2:51" ht="13.5" customHeight="1" thickBot="1">
      <c r="B96" s="421" t="s">
        <v>168</v>
      </c>
      <c r="C96" s="2"/>
      <c r="F96" s="235">
        <f>F40+DT*(F32-F40)/Term1</f>
        <v>-38163.18779901748</v>
      </c>
      <c r="G96" s="10" t="s">
        <v>0</v>
      </c>
      <c r="H96" s="467">
        <f t="shared" si="15"/>
        <v>-9136.956749537147</v>
      </c>
      <c r="I96" s="227">
        <f t="shared" si="15"/>
        <v>67.02454784803888</v>
      </c>
      <c r="J96" s="228">
        <f t="shared" si="15"/>
        <v>352.4609663442924</v>
      </c>
      <c r="K96" s="229">
        <f t="shared" si="15"/>
        <v>2275.0377443568022</v>
      </c>
      <c r="L96" s="256" t="s">
        <v>0</v>
      </c>
      <c r="Q96" s="380">
        <f>GPE!C13</f>
        <v>15379.78656622726</v>
      </c>
      <c r="R96" s="181" t="s">
        <v>0</v>
      </c>
      <c r="S96" s="379">
        <f>GPE!E13</f>
        <v>-27689.89328311363</v>
      </c>
      <c r="T96" s="380">
        <f>GPE!F13</f>
        <v>20</v>
      </c>
      <c r="U96" s="380">
        <f>GPE!G13</f>
        <v>350</v>
      </c>
      <c r="V96" s="380">
        <f>GPE!H13</f>
        <v>6766</v>
      </c>
      <c r="W96" s="425" t="s">
        <v>0</v>
      </c>
      <c r="AU96" s="2"/>
      <c r="AV96" s="2"/>
      <c r="AW96" s="2"/>
      <c r="AX96" s="2"/>
      <c r="AY96" s="2"/>
    </row>
    <row r="97" spans="2:51" ht="13.5" customHeight="1">
      <c r="B97" s="2"/>
      <c r="F97" s="2"/>
      <c r="G97" s="2"/>
      <c r="H97" s="2"/>
      <c r="I97" s="2"/>
      <c r="J97" s="2"/>
      <c r="K97" s="2"/>
      <c r="L97" s="2"/>
      <c r="AU97" s="2"/>
      <c r="AV97" s="2"/>
      <c r="AW97" s="2"/>
      <c r="AX97" s="2"/>
      <c r="AY97" s="2"/>
    </row>
    <row r="98" spans="2:51" ht="13.5" customHeight="1">
      <c r="B98" s="2"/>
      <c r="F98" s="2"/>
      <c r="G98" s="2"/>
      <c r="H98" s="2"/>
      <c r="I98" s="2"/>
      <c r="J98" s="2"/>
      <c r="K98" s="2"/>
      <c r="AU98" s="2"/>
      <c r="AV98" s="2"/>
      <c r="AW98" s="2"/>
      <c r="AX98" s="2"/>
      <c r="AY98" s="2"/>
    </row>
    <row r="99" spans="1:51" ht="13.5" customHeight="1" thickBot="1">
      <c r="A99" s="2"/>
      <c r="F99" s="2"/>
      <c r="G99" s="2"/>
      <c r="H99" s="468">
        <f>H43+DT*H$10*3*(H35-H43)</f>
        <v>0.6130881789728824</v>
      </c>
      <c r="I99" s="44">
        <f>I43+DT*I$10*3*(I35-I43)</f>
        <v>-4.821184008070149</v>
      </c>
      <c r="J99" s="44">
        <f>J43+DT*J$10*3*(J35-J43)</f>
        <v>29.618227336256826</v>
      </c>
      <c r="K99" s="387">
        <f>K43+DT*K$10*3*(K35-K43)</f>
        <v>-31.44290406456013</v>
      </c>
      <c r="Q99" s="582" t="s">
        <v>271</v>
      </c>
      <c r="AU99" s="2"/>
      <c r="AV99" s="2"/>
      <c r="AW99" s="2"/>
      <c r="AX99" s="2"/>
      <c r="AY99" s="2"/>
    </row>
    <row r="100" spans="1:51" ht="13.5" customHeight="1">
      <c r="A100" s="2"/>
      <c r="G100" s="100" t="s">
        <v>79</v>
      </c>
      <c r="H100" s="10" t="s">
        <v>2</v>
      </c>
      <c r="I100" s="10" t="s">
        <v>3</v>
      </c>
      <c r="J100" s="10" t="s">
        <v>4</v>
      </c>
      <c r="K100" s="10" t="s">
        <v>0</v>
      </c>
      <c r="Q100" s="365" t="s">
        <v>269</v>
      </c>
      <c r="AU100" s="2"/>
      <c r="AV100" s="2"/>
      <c r="AW100" s="2"/>
      <c r="AX100" s="2"/>
      <c r="AY100" s="2"/>
    </row>
    <row r="101" spans="1:51" ht="13.5" customHeight="1">
      <c r="A101" s="2"/>
      <c r="F101" s="573">
        <f>F45+DT*(F37-F45)/Term1</f>
        <v>0</v>
      </c>
      <c r="G101" s="10" t="s">
        <v>2</v>
      </c>
      <c r="H101" s="464">
        <f aca="true" t="shared" si="16" ref="H101:K104">H45+DT*H$10*3*(H37-H45)</f>
        <v>35508.652235386275</v>
      </c>
      <c r="I101" s="52">
        <f t="shared" si="16"/>
        <v>-334.3628585674947</v>
      </c>
      <c r="J101" s="53">
        <f t="shared" si="16"/>
        <v>-825.5806720029979</v>
      </c>
      <c r="K101" s="53">
        <f t="shared" si="16"/>
        <v>-2922</v>
      </c>
      <c r="L101" s="10" t="s">
        <v>2</v>
      </c>
      <c r="Q101" s="54"/>
      <c r="R101" s="10" t="s">
        <v>2</v>
      </c>
      <c r="AT101" s="2"/>
      <c r="AU101" s="2"/>
      <c r="AV101" s="2"/>
      <c r="AW101" s="2"/>
      <c r="AX101" s="2"/>
      <c r="AY101" s="2"/>
    </row>
    <row r="102" spans="1:51" ht="13.5" customHeight="1">
      <c r="A102" s="2"/>
      <c r="F102" s="223"/>
      <c r="G102" s="10" t="s">
        <v>3</v>
      </c>
      <c r="H102" s="465">
        <f t="shared" si="16"/>
        <v>-13241.468135603596</v>
      </c>
      <c r="I102" s="60">
        <f t="shared" si="16"/>
        <v>165.31702483897666</v>
      </c>
      <c r="J102" s="61">
        <f t="shared" si="16"/>
        <v>162.89278532248002</v>
      </c>
      <c r="K102" s="61">
        <f t="shared" si="16"/>
        <v>320.9010352476324</v>
      </c>
      <c r="L102" s="256" t="s">
        <v>3</v>
      </c>
      <c r="Q102" s="74">
        <f>AD58/(Q8/Q30-1)</f>
        <v>-8536.801187186124</v>
      </c>
      <c r="R102" s="10" t="s">
        <v>3</v>
      </c>
      <c r="AT102" s="2"/>
      <c r="AU102" s="2"/>
      <c r="AV102" s="2"/>
      <c r="AW102" s="2"/>
      <c r="AX102" s="2"/>
      <c r="AY102" s="2"/>
    </row>
    <row r="103" spans="1:51" ht="13.5" customHeight="1">
      <c r="A103" s="2"/>
      <c r="F103" s="223"/>
      <c r="G103" s="10" t="s">
        <v>4</v>
      </c>
      <c r="H103" s="466">
        <f t="shared" si="16"/>
        <v>-13130.80060422107</v>
      </c>
      <c r="I103" s="224">
        <f t="shared" si="16"/>
        <v>106.83802936128983</v>
      </c>
      <c r="J103" s="225">
        <f t="shared" si="16"/>
        <v>280.6217007727125</v>
      </c>
      <c r="K103" s="226">
        <f t="shared" si="16"/>
        <v>357.5074600256301</v>
      </c>
      <c r="L103" s="256" t="s">
        <v>4</v>
      </c>
      <c r="M103" s="2"/>
      <c r="Q103" s="74">
        <f>AD59/(Q9/Q31-1)</f>
        <v>-9254.821648995774</v>
      </c>
      <c r="R103" s="10" t="s">
        <v>4</v>
      </c>
      <c r="AN103" s="2"/>
      <c r="AO103" s="2"/>
      <c r="AP103" s="2"/>
      <c r="AQ103" s="2"/>
      <c r="AR103" s="2"/>
      <c r="AS103" s="2"/>
      <c r="AT103" s="2"/>
      <c r="AU103" s="2"/>
      <c r="AV103" s="2"/>
      <c r="AW103" s="2"/>
      <c r="AX103" s="2"/>
      <c r="AY103" s="2"/>
    </row>
    <row r="104" spans="1:51" ht="13.5" customHeight="1" thickBot="1">
      <c r="A104" s="2"/>
      <c r="B104" s="2"/>
      <c r="C104" s="2"/>
      <c r="F104" s="235">
        <f>F48+DT*(F40-F48)/Term1</f>
        <v>-38136.987797615904</v>
      </c>
      <c r="G104" s="10" t="s">
        <v>0</v>
      </c>
      <c r="H104" s="467">
        <f t="shared" si="16"/>
        <v>-9136.99658374058</v>
      </c>
      <c r="I104" s="227">
        <f t="shared" si="16"/>
        <v>67.02898837529798</v>
      </c>
      <c r="J104" s="228">
        <f t="shared" si="16"/>
        <v>352.44795857154884</v>
      </c>
      <c r="K104" s="229">
        <f t="shared" si="16"/>
        <v>2275.034408791297</v>
      </c>
      <c r="L104" s="256" t="s">
        <v>0</v>
      </c>
      <c r="M104" s="2"/>
      <c r="Q104" s="237">
        <f>AD60/(Q10/Q32-1)</f>
        <v>17792.18320290728</v>
      </c>
      <c r="R104" s="10" t="s">
        <v>0</v>
      </c>
      <c r="AN104" s="2"/>
      <c r="AO104" s="2"/>
      <c r="AP104" s="2"/>
      <c r="AQ104" s="2"/>
      <c r="AR104" s="2"/>
      <c r="AS104" s="2"/>
      <c r="AT104" s="2"/>
      <c r="AU104" s="2"/>
      <c r="AV104" s="2"/>
      <c r="AW104" s="2"/>
      <c r="AX104" s="2"/>
      <c r="AY104" s="2"/>
    </row>
    <row r="105" spans="1:51" ht="13.5" customHeight="1">
      <c r="A105" s="2"/>
      <c r="B105" s="2"/>
      <c r="C105" s="2"/>
      <c r="E105" s="2"/>
      <c r="F105" s="2"/>
      <c r="I105" s="2"/>
      <c r="J105" s="2"/>
      <c r="K105" s="2"/>
      <c r="L105" s="2"/>
      <c r="M105" s="2"/>
      <c r="N105" s="2"/>
      <c r="AN105" s="2"/>
      <c r="AO105" s="2"/>
      <c r="AP105" s="2"/>
      <c r="AQ105" s="2"/>
      <c r="AR105" s="2"/>
      <c r="AS105" s="2"/>
      <c r="AT105" s="2"/>
      <c r="AU105" s="2"/>
      <c r="AV105" s="2"/>
      <c r="AW105" s="2"/>
      <c r="AX105" s="2"/>
      <c r="AY105" s="2"/>
    </row>
    <row r="106" spans="9:51" ht="13.5" customHeight="1">
      <c r="I106" s="2"/>
      <c r="J106" s="2"/>
      <c r="K106" s="2"/>
      <c r="L106" s="2"/>
      <c r="N106" s="2"/>
      <c r="AB106" s="2"/>
      <c r="AC106" s="2"/>
      <c r="AN106" s="2"/>
      <c r="AO106" s="2"/>
      <c r="AP106" s="2"/>
      <c r="AQ106" s="2"/>
      <c r="AR106" s="2"/>
      <c r="AS106" s="2"/>
      <c r="AT106" s="2"/>
      <c r="AU106" s="2"/>
      <c r="AV106" s="2"/>
      <c r="AW106" s="2"/>
      <c r="AX106" s="2"/>
      <c r="AY106" s="2"/>
    </row>
    <row r="107" spans="11:51" ht="13.5" customHeight="1" thickBot="1">
      <c r="K107" s="369">
        <f>K51+DT*Q107</f>
        <v>-10281.808573503507</v>
      </c>
      <c r="N107" s="2"/>
      <c r="Q107" s="370">
        <f>(Q104-Q24)/AI51/(1-X32)</f>
        <v>0.0396483400050495</v>
      </c>
      <c r="R107" s="428" t="s">
        <v>182</v>
      </c>
      <c r="S107" s="431" t="s">
        <v>146</v>
      </c>
      <c r="AB107" s="2"/>
      <c r="AC107" s="2"/>
      <c r="AN107" s="2"/>
      <c r="AO107" s="2"/>
      <c r="AP107" s="2"/>
      <c r="AQ107" s="2"/>
      <c r="AR107" s="2"/>
      <c r="AS107" s="2"/>
      <c r="AT107" s="2"/>
      <c r="AU107" s="2"/>
      <c r="AV107" s="2"/>
      <c r="AW107" s="2"/>
      <c r="AX107" s="2"/>
      <c r="AY107" s="2"/>
    </row>
    <row r="108" spans="11:51" ht="13.5" customHeight="1">
      <c r="K108" s="493">
        <f>Utility!M45</f>
        <v>-10219.742864345546</v>
      </c>
      <c r="N108" s="2"/>
      <c r="AB108" s="2"/>
      <c r="AC108" s="2"/>
      <c r="AN108" s="2"/>
      <c r="AO108" s="2"/>
      <c r="AP108" s="2"/>
      <c r="AQ108" s="2"/>
      <c r="AR108" s="2"/>
      <c r="AS108" s="2"/>
      <c r="AT108" s="2"/>
      <c r="AU108" s="2"/>
      <c r="AV108" s="2"/>
      <c r="AW108" s="2"/>
      <c r="AX108" s="2"/>
      <c r="AY108" s="2"/>
    </row>
    <row r="109" spans="14:51" ht="13.5" customHeight="1">
      <c r="N109" s="2"/>
      <c r="AB109" s="2"/>
      <c r="AC109" s="2"/>
      <c r="AN109" s="2"/>
      <c r="AO109" s="2"/>
      <c r="AP109" s="2"/>
      <c r="AQ109" s="2"/>
      <c r="AR109" s="2"/>
      <c r="AS109" s="2"/>
      <c r="AT109" s="2"/>
      <c r="AU109" s="2"/>
      <c r="AV109" s="2"/>
      <c r="AW109" s="2"/>
      <c r="AX109" s="2"/>
      <c r="AY109" s="2"/>
    </row>
    <row r="110" spans="31:51" ht="13.5" customHeight="1">
      <c r="AE110" s="2"/>
      <c r="AG110" s="2"/>
      <c r="AH110" s="2"/>
      <c r="AI110" s="2"/>
      <c r="AJ110" s="2"/>
      <c r="AN110" s="2"/>
      <c r="AO110" s="2"/>
      <c r="AP110" s="2"/>
      <c r="AQ110" s="2"/>
      <c r="AR110" s="2"/>
      <c r="AS110" s="2"/>
      <c r="AT110" s="2"/>
      <c r="AU110" s="2"/>
      <c r="AV110" s="2"/>
      <c r="AW110" s="2"/>
      <c r="AX110" s="2"/>
      <c r="AY110" s="2"/>
    </row>
    <row r="111" spans="38:51" ht="13.5" customHeight="1">
      <c r="AL111" s="2"/>
      <c r="AN111" s="2"/>
      <c r="AO111" s="2"/>
      <c r="AP111" s="2"/>
      <c r="AQ111" s="2"/>
      <c r="AR111" s="2"/>
      <c r="AS111" s="2"/>
      <c r="AT111" s="2"/>
      <c r="AU111" s="2"/>
      <c r="AV111" s="2"/>
      <c r="AW111" s="2"/>
      <c r="AX111" s="2"/>
      <c r="AY111" s="2"/>
    </row>
    <row r="112" spans="11:51" ht="13.5" customHeight="1">
      <c r="K112" s="2"/>
      <c r="L112" s="2"/>
      <c r="M112" s="2"/>
      <c r="N112" s="2"/>
      <c r="AL112" s="2"/>
      <c r="AN112" s="2"/>
      <c r="AO112" s="2"/>
      <c r="AP112" s="2"/>
      <c r="AQ112" s="2"/>
      <c r="AR112" s="2"/>
      <c r="AS112" s="2"/>
      <c r="AT112" s="2"/>
      <c r="AU112" s="2"/>
      <c r="AV112" s="2"/>
      <c r="AW112" s="2"/>
      <c r="AX112" s="2"/>
      <c r="AY112" s="2"/>
    </row>
    <row r="113" spans="11:51" ht="13.5" customHeight="1">
      <c r="K113" s="2"/>
      <c r="L113" s="2"/>
      <c r="M113" s="2"/>
      <c r="N113" s="2"/>
      <c r="AN113" s="2"/>
      <c r="AO113" s="2"/>
      <c r="AP113" s="2"/>
      <c r="AQ113" s="2"/>
      <c r="AR113" s="2"/>
      <c r="AS113" s="2"/>
      <c r="AT113" s="2"/>
      <c r="AU113" s="2"/>
      <c r="AV113" s="2"/>
      <c r="AW113" s="2"/>
      <c r="AX113" s="2"/>
      <c r="AY113" s="2"/>
    </row>
    <row r="114" spans="11:51" ht="13.5" customHeight="1">
      <c r="K114" s="2"/>
      <c r="L114" s="2"/>
      <c r="M114" s="2"/>
      <c r="N114" s="2"/>
      <c r="AM114" s="2"/>
      <c r="AN114" s="2"/>
      <c r="AO114" s="2"/>
      <c r="AP114" s="2"/>
      <c r="AQ114" s="2"/>
      <c r="AR114" s="2"/>
      <c r="AS114" s="2"/>
      <c r="AT114" s="2"/>
      <c r="AU114" s="2"/>
      <c r="AV114" s="2"/>
      <c r="AW114" s="2"/>
      <c r="AX114" s="2"/>
      <c r="AY114" s="2"/>
    </row>
    <row r="115" spans="39:51" ht="13.5" customHeight="1">
      <c r="AM115" s="2"/>
      <c r="AN115" s="2"/>
      <c r="AO115" s="2"/>
      <c r="AP115" s="2"/>
      <c r="AQ115" s="2"/>
      <c r="AR115" s="2"/>
      <c r="AS115" s="2"/>
      <c r="AT115" s="2"/>
      <c r="AU115" s="2"/>
      <c r="AV115" s="2"/>
      <c r="AW115" s="2"/>
      <c r="AX115" s="2"/>
      <c r="AY115" s="2"/>
    </row>
    <row r="116" spans="36:51" ht="13.5" customHeight="1">
      <c r="AJ116" s="2"/>
      <c r="AK116" s="2"/>
      <c r="AL116" s="333"/>
      <c r="AM116" s="2"/>
      <c r="AN116" s="2"/>
      <c r="AO116" s="2"/>
      <c r="AP116" s="2"/>
      <c r="AQ116" s="2"/>
      <c r="AR116" s="2"/>
      <c r="AS116" s="2"/>
      <c r="AT116" s="2"/>
      <c r="AU116" s="2"/>
      <c r="AV116" s="2"/>
      <c r="AW116" s="2"/>
      <c r="AX116" s="2"/>
      <c r="AY116" s="2"/>
    </row>
    <row r="117" spans="18:51" ht="13.5" customHeight="1">
      <c r="R117" s="2"/>
      <c r="S117" s="2"/>
      <c r="T117" s="2"/>
      <c r="U117" s="2"/>
      <c r="V117" s="2"/>
      <c r="W117" s="2"/>
      <c r="X117" s="2"/>
      <c r="AF117" s="2"/>
      <c r="AG117" s="2"/>
      <c r="AH117" s="2"/>
      <c r="AI117" s="2"/>
      <c r="AJ117" s="2"/>
      <c r="AK117" s="2"/>
      <c r="AM117" s="2"/>
      <c r="AN117" s="2"/>
      <c r="AO117" s="2"/>
      <c r="AP117" s="2"/>
      <c r="AQ117" s="2"/>
      <c r="AR117" s="2"/>
      <c r="AS117" s="2"/>
      <c r="AT117" s="2"/>
      <c r="AU117" s="2"/>
      <c r="AV117" s="2"/>
      <c r="AW117" s="2"/>
      <c r="AX117" s="2"/>
      <c r="AY117" s="2"/>
    </row>
    <row r="118" spans="19:51" ht="13.5" customHeight="1">
      <c r="S118" s="2"/>
      <c r="T118" s="2"/>
      <c r="U118" s="2"/>
      <c r="V118" s="2"/>
      <c r="W118" s="2"/>
      <c r="X118" s="2"/>
      <c r="AM118" s="2"/>
      <c r="AN118" s="2"/>
      <c r="AO118" s="2"/>
      <c r="AP118" s="2"/>
      <c r="AQ118" s="2"/>
      <c r="AR118" s="2"/>
      <c r="AS118" s="2"/>
      <c r="AT118" s="2"/>
      <c r="AU118" s="2"/>
      <c r="AV118" s="2"/>
      <c r="AW118" s="2"/>
      <c r="AX118" s="2"/>
      <c r="AY118" s="2"/>
    </row>
    <row r="119" spans="19:51" ht="13.5" customHeight="1">
      <c r="S119" s="2"/>
      <c r="T119" s="2"/>
      <c r="U119" s="2"/>
      <c r="V119" s="2"/>
      <c r="W119" s="2"/>
      <c r="X119" s="2"/>
      <c r="AM119" s="2"/>
      <c r="AN119" s="2"/>
      <c r="AO119" s="2"/>
      <c r="AP119" s="2"/>
      <c r="AQ119" s="2"/>
      <c r="AR119" s="2"/>
      <c r="AS119" s="2"/>
      <c r="AT119" s="2"/>
      <c r="AU119" s="2"/>
      <c r="AV119" s="2"/>
      <c r="AW119" s="2"/>
      <c r="AX119" s="2"/>
      <c r="AY119" s="2"/>
    </row>
    <row r="120" spans="39:51" ht="13.5" customHeight="1">
      <c r="AM120" s="2"/>
      <c r="AN120" s="2"/>
      <c r="AO120" s="2"/>
      <c r="AP120" s="2"/>
      <c r="AQ120" s="2"/>
      <c r="AR120" s="2"/>
      <c r="AS120" s="2"/>
      <c r="AT120" s="2"/>
      <c r="AU120" s="2"/>
      <c r="AV120" s="2"/>
      <c r="AW120" s="2"/>
      <c r="AX120" s="2"/>
      <c r="AY120" s="2"/>
    </row>
    <row r="121" ht="13.5" customHeight="1">
      <c r="AM121" s="2"/>
    </row>
    <row r="122" spans="38:39" ht="13.5" customHeight="1">
      <c r="AL122" s="2"/>
      <c r="AM122" s="2"/>
    </row>
    <row r="123" spans="38:39" ht="13.5" customHeight="1">
      <c r="AL123" s="333"/>
      <c r="AM123" s="2"/>
    </row>
    <row r="124" spans="38:39" ht="13.5" customHeight="1">
      <c r="AL124" s="333"/>
      <c r="AM124" s="2"/>
    </row>
    <row r="125" spans="38:39" ht="13.5" customHeight="1">
      <c r="AL125" s="2"/>
      <c r="AM125" s="2"/>
    </row>
    <row r="126" ht="13.5" customHeight="1">
      <c r="AM126" s="2"/>
    </row>
    <row r="127" ht="13.5" customHeight="1">
      <c r="AM127" s="2"/>
    </row>
    <row r="128" ht="13.5" customHeight="1">
      <c r="AM128" s="2"/>
    </row>
    <row r="129" spans="25:39" ht="13.5" customHeight="1">
      <c r="Y129" s="2"/>
      <c r="Z129" s="2"/>
      <c r="AA129" s="2"/>
      <c r="AB129" s="2"/>
      <c r="AC129" s="2"/>
      <c r="AD129" s="2"/>
      <c r="AE129" s="2"/>
      <c r="AM129" s="2"/>
    </row>
    <row r="130" spans="25:39" ht="13.5" customHeight="1">
      <c r="Y130" s="2"/>
      <c r="Z130" s="2"/>
      <c r="AA130" s="2"/>
      <c r="AB130" s="2"/>
      <c r="AC130" s="2"/>
      <c r="AD130" s="2"/>
      <c r="AE130" s="2"/>
      <c r="AM130" s="2"/>
    </row>
    <row r="131" spans="25:39" ht="13.5" customHeight="1">
      <c r="Y131" s="2"/>
      <c r="Z131" s="2"/>
      <c r="AA131" s="2"/>
      <c r="AB131" s="2"/>
      <c r="AC131" s="2"/>
      <c r="AD131" s="2"/>
      <c r="AE131" s="2"/>
      <c r="AM131" s="2"/>
    </row>
    <row r="132" spans="25:31" ht="13.5" customHeight="1">
      <c r="Y132" s="2"/>
      <c r="Z132" s="2"/>
      <c r="AA132" s="2"/>
      <c r="AB132" s="2"/>
      <c r="AC132" s="2"/>
      <c r="AD132" s="2"/>
      <c r="AE132" s="2"/>
    </row>
    <row r="133" spans="21:27" ht="13.5">
      <c r="U133" s="2"/>
      <c r="V133" s="2"/>
      <c r="W133" s="2"/>
      <c r="X133" s="2"/>
      <c r="Y133" s="2"/>
      <c r="Z133" s="2"/>
      <c r="AA133" s="2"/>
    </row>
    <row r="134" spans="15:27" ht="13.5">
      <c r="O134" s="2"/>
      <c r="P134" s="2"/>
      <c r="Q134" s="2"/>
      <c r="R134" s="2"/>
      <c r="S134" s="2"/>
      <c r="T134" s="2"/>
      <c r="U134" s="2"/>
      <c r="V134" s="2"/>
      <c r="W134" s="2"/>
      <c r="X134" s="2"/>
      <c r="Y134" s="2"/>
      <c r="Z134" s="2"/>
      <c r="AA134" s="2"/>
    </row>
    <row r="135" spans="15:24" ht="13.5">
      <c r="O135" s="2"/>
      <c r="P135" s="2"/>
      <c r="Q135" s="2"/>
      <c r="R135" s="2"/>
      <c r="S135" s="2"/>
      <c r="T135" s="2"/>
      <c r="U135" s="2"/>
      <c r="V135" s="2"/>
      <c r="W135" s="2"/>
      <c r="X135" s="2"/>
    </row>
    <row r="136" spans="15:24" ht="13.5">
      <c r="O136" s="2"/>
      <c r="P136" s="2"/>
      <c r="Q136" s="2"/>
      <c r="R136" s="2"/>
      <c r="S136" s="2"/>
      <c r="T136" s="2"/>
      <c r="U136" s="2"/>
      <c r="V136" s="2"/>
      <c r="W136" s="2"/>
      <c r="X136" s="2"/>
    </row>
  </sheetData>
  <sheetProtection selectLockedCells="1" selectUnlockedCells="1"/>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10"/>
  <dimension ref="A1:AZ117"/>
  <sheetViews>
    <sheetView showGridLines="0" zoomScalePageLayoutView="0" workbookViewId="0" topLeftCell="A1">
      <selection activeCell="A1" sqref="A1"/>
    </sheetView>
  </sheetViews>
  <sheetFormatPr defaultColWidth="9.00390625" defaultRowHeight="13.5"/>
  <cols>
    <col min="3" max="3" width="3.125" style="0" customWidth="1"/>
    <col min="5" max="5" width="3.125" style="0" customWidth="1"/>
    <col min="7" max="7" width="3.125" style="0" customWidth="1"/>
    <col min="12" max="12" width="3.125" style="0" customWidth="1"/>
    <col min="16" max="16" width="3.125" style="0" customWidth="1"/>
    <col min="18" max="18" width="3.125" style="0" customWidth="1"/>
    <col min="23" max="23" width="3.125" style="0" customWidth="1"/>
    <col min="25" max="25" width="3.125" style="0" customWidth="1"/>
    <col min="29" max="29" width="3.125" style="0" customWidth="1"/>
    <col min="31" max="31" width="3.125" style="0" customWidth="1"/>
    <col min="36" max="36" width="3.125" style="0" customWidth="1"/>
    <col min="38" max="38" width="3.125" style="0" customWidth="1"/>
    <col min="40" max="40" width="3.125" style="0" customWidth="1"/>
    <col min="45" max="45" width="3.125" style="0" customWidth="1"/>
  </cols>
  <sheetData>
    <row r="1" spans="2:5" ht="13.5" customHeight="1">
      <c r="B1" s="310"/>
      <c r="C1" s="310"/>
      <c r="D1" s="310"/>
      <c r="E1" s="310"/>
    </row>
    <row r="2" spans="2:52" ht="13.5" customHeight="1">
      <c r="B2" s="233"/>
      <c r="C2" s="233"/>
      <c r="E2" s="233"/>
      <c r="F2" s="2"/>
      <c r="G2" s="2"/>
      <c r="H2" s="2"/>
      <c r="I2" s="2"/>
      <c r="J2" s="2"/>
      <c r="K2" s="2"/>
      <c r="L2" s="2"/>
      <c r="M2" s="2"/>
      <c r="N2" s="2"/>
      <c r="O2" s="2"/>
      <c r="P2" s="2"/>
      <c r="R2" s="2"/>
      <c r="Y2" s="2"/>
      <c r="Z2" s="2"/>
      <c r="AA2" s="2"/>
      <c r="AB2" s="2"/>
      <c r="AC2" s="2"/>
      <c r="AD2" s="2"/>
      <c r="AE2" s="2"/>
      <c r="AF2" s="2"/>
      <c r="AG2" s="2"/>
      <c r="AH2" s="2"/>
      <c r="AI2" s="2"/>
      <c r="AJ2" s="2"/>
      <c r="AK2" s="2"/>
      <c r="AL2" s="2"/>
      <c r="AM2" s="2"/>
      <c r="AN2" s="2"/>
      <c r="AO2" s="2"/>
      <c r="AR2" s="2"/>
      <c r="AS2" s="2"/>
      <c r="AT2" s="2"/>
      <c r="AU2" s="2"/>
      <c r="AV2" s="2"/>
      <c r="AW2" s="2"/>
      <c r="AX2" s="2"/>
      <c r="AY2" s="2"/>
      <c r="AZ2" s="2"/>
    </row>
    <row r="3" spans="3:52" ht="13.5" customHeight="1">
      <c r="C3" s="2"/>
      <c r="D3" s="2"/>
      <c r="E3" s="2"/>
      <c r="F3" s="2"/>
      <c r="G3" s="2"/>
      <c r="I3" s="2"/>
      <c r="J3" s="2"/>
      <c r="K3" s="2"/>
      <c r="L3" s="2"/>
      <c r="M3" s="2"/>
      <c r="Y3" s="2"/>
      <c r="Z3" s="2"/>
      <c r="AA3" s="2"/>
      <c r="AB3" s="2"/>
      <c r="AC3" s="2"/>
      <c r="AD3" s="2"/>
      <c r="AE3" s="2"/>
      <c r="AF3" s="2"/>
      <c r="AG3" s="2"/>
      <c r="AH3" s="2"/>
      <c r="AI3" s="2"/>
      <c r="AJ3" s="2"/>
      <c r="AK3" s="2"/>
      <c r="AL3" s="2"/>
      <c r="AV3" s="2"/>
      <c r="AW3" s="2"/>
      <c r="AX3" s="2"/>
      <c r="AY3" s="2"/>
      <c r="AZ3" s="2"/>
    </row>
    <row r="4" spans="3:52" ht="13.5" customHeight="1">
      <c r="C4" s="2"/>
      <c r="D4" s="2"/>
      <c r="E4" s="2"/>
      <c r="F4" s="233"/>
      <c r="M4" s="2"/>
      <c r="S4" s="2"/>
      <c r="T4" s="2"/>
      <c r="U4" s="2"/>
      <c r="V4" s="2"/>
      <c r="W4" s="2"/>
      <c r="X4" s="2"/>
      <c r="AV4" s="2"/>
      <c r="AW4" s="2"/>
      <c r="AX4" s="2"/>
      <c r="AY4" s="2"/>
      <c r="AZ4" s="2"/>
    </row>
    <row r="5" spans="17:52" ht="13.5" customHeight="1" thickBot="1">
      <c r="Q5" s="2"/>
      <c r="R5" s="40"/>
      <c r="W5" s="2"/>
      <c r="X5" s="2"/>
      <c r="AC5" s="2"/>
      <c r="AF5" s="5"/>
      <c r="AG5" s="6">
        <f>-SUM(AG7:AG10)</f>
        <v>-2069.2089930830075</v>
      </c>
      <c r="AH5" s="6">
        <f>-SUM(AH7:AH10)</f>
        <v>-16224.936556275767</v>
      </c>
      <c r="AI5" s="312">
        <f>-SUM(AI7:AI10)</f>
        <v>-53861.74695449448</v>
      </c>
      <c r="AJ5" s="2"/>
      <c r="AK5" s="2"/>
      <c r="AL5" s="2"/>
      <c r="AV5" s="2"/>
      <c r="AW5" s="2"/>
      <c r="AX5" s="2"/>
      <c r="AY5" s="2"/>
      <c r="AZ5" s="2"/>
    </row>
    <row r="6" spans="5:52" ht="13.5" customHeight="1">
      <c r="E6" s="479" t="s">
        <v>257</v>
      </c>
      <c r="Q6" s="2"/>
      <c r="R6" s="100" t="s">
        <v>97</v>
      </c>
      <c r="S6" s="10" t="s">
        <v>2</v>
      </c>
      <c r="T6" s="10" t="s">
        <v>3</v>
      </c>
      <c r="U6" s="10" t="s">
        <v>4</v>
      </c>
      <c r="V6" s="10" t="s">
        <v>0</v>
      </c>
      <c r="W6" s="2"/>
      <c r="X6" s="2"/>
      <c r="AD6" s="2"/>
      <c r="AE6" s="100" t="s">
        <v>98</v>
      </c>
      <c r="AF6" s="10" t="s">
        <v>2</v>
      </c>
      <c r="AG6" s="10" t="s">
        <v>3</v>
      </c>
      <c r="AH6" s="10" t="s">
        <v>4</v>
      </c>
      <c r="AI6" s="10" t="s">
        <v>0</v>
      </c>
      <c r="AJ6" s="374" t="s">
        <v>119</v>
      </c>
      <c r="AK6" s="67" t="s">
        <v>17</v>
      </c>
      <c r="AL6" s="2"/>
      <c r="AM6" s="359" t="s">
        <v>17</v>
      </c>
      <c r="AV6" s="2"/>
      <c r="AW6" s="2"/>
      <c r="AX6" s="2"/>
      <c r="AY6" s="2"/>
      <c r="AZ6" s="2"/>
    </row>
    <row r="7" spans="17:52" ht="13.5" customHeight="1">
      <c r="Q7" s="55"/>
      <c r="R7" s="10" t="s">
        <v>2</v>
      </c>
      <c r="S7" s="210"/>
      <c r="T7" s="211">
        <v>1</v>
      </c>
      <c r="U7" s="212">
        <v>1</v>
      </c>
      <c r="V7" s="213">
        <v>0</v>
      </c>
      <c r="W7" s="10" t="s">
        <v>2</v>
      </c>
      <c r="X7" s="55"/>
      <c r="AD7" s="2"/>
      <c r="AE7" s="10" t="s">
        <v>2</v>
      </c>
      <c r="AF7" s="460"/>
      <c r="AG7" s="201">
        <v>794.2843664315288</v>
      </c>
      <c r="AH7" s="202">
        <v>5693.503722212354</v>
      </c>
      <c r="AI7" s="247">
        <v>8766</v>
      </c>
      <c r="AJ7" s="10" t="s">
        <v>2</v>
      </c>
      <c r="AK7" s="241">
        <f>X21+AK21</f>
        <v>-633066.4156135435</v>
      </c>
      <c r="AM7" s="424">
        <f>Utility!E28</f>
        <v>-643139.16478631</v>
      </c>
      <c r="AN7" s="181" t="s">
        <v>2</v>
      </c>
      <c r="AV7" s="2"/>
      <c r="AW7" s="2"/>
      <c r="AX7" s="2"/>
      <c r="AY7" s="2"/>
      <c r="AZ7" s="2"/>
    </row>
    <row r="8" spans="13:52" ht="13.5" customHeight="1">
      <c r="M8" s="2"/>
      <c r="Q8" s="214">
        <f>1-S8</f>
        <v>4</v>
      </c>
      <c r="R8" s="10" t="s">
        <v>3</v>
      </c>
      <c r="S8" s="215">
        <f>-SUM(T8:V8)</f>
        <v>-3</v>
      </c>
      <c r="T8" s="216">
        <f aca="true" t="shared" si="0" ref="T8:V10">SIGN(AG8)</f>
        <v>1</v>
      </c>
      <c r="U8" s="217">
        <f t="shared" si="0"/>
        <v>1</v>
      </c>
      <c r="V8" s="217">
        <f t="shared" si="0"/>
        <v>1</v>
      </c>
      <c r="W8" s="256" t="s">
        <v>3</v>
      </c>
      <c r="X8" s="70">
        <f>1/(1-S8)</f>
        <v>0.25</v>
      </c>
      <c r="AD8" s="422" t="s">
        <v>160</v>
      </c>
      <c r="AE8" s="10" t="s">
        <v>3</v>
      </c>
      <c r="AF8" s="248"/>
      <c r="AG8" s="205">
        <v>644.284366431529</v>
      </c>
      <c r="AH8" s="206">
        <v>5546.692237386904</v>
      </c>
      <c r="AI8" s="206">
        <v>29682.74915052081</v>
      </c>
      <c r="AJ8" s="256" t="s">
        <v>3</v>
      </c>
      <c r="AK8" s="76">
        <f>AG7</f>
        <v>794.2843664315288</v>
      </c>
      <c r="AM8" s="493">
        <f>Utility!M14</f>
        <v>794.2843664315288</v>
      </c>
      <c r="AN8" s="494" t="s">
        <v>3</v>
      </c>
      <c r="AV8" s="2"/>
      <c r="AW8" s="2"/>
      <c r="AX8" s="2"/>
      <c r="AY8" s="2"/>
      <c r="AZ8" s="2"/>
    </row>
    <row r="9" spans="4:52" ht="13.5" customHeight="1">
      <c r="D9" s="42" t="s">
        <v>121</v>
      </c>
      <c r="E9" s="2"/>
      <c r="F9" s="415" t="s">
        <v>162</v>
      </c>
      <c r="G9" s="2"/>
      <c r="H9" s="10">
        <v>0</v>
      </c>
      <c r="I9" s="10" t="s">
        <v>3</v>
      </c>
      <c r="J9" s="10" t="s">
        <v>4</v>
      </c>
      <c r="K9" s="10" t="s">
        <v>0</v>
      </c>
      <c r="M9" s="2"/>
      <c r="Q9" s="214">
        <f>1-S9</f>
        <v>4</v>
      </c>
      <c r="R9" s="10" t="s">
        <v>4</v>
      </c>
      <c r="S9" s="218">
        <f>-SUM(T9:V9)</f>
        <v>-3</v>
      </c>
      <c r="T9" s="219">
        <f t="shared" si="0"/>
        <v>1</v>
      </c>
      <c r="U9" s="220">
        <f t="shared" si="0"/>
        <v>1</v>
      </c>
      <c r="V9" s="221">
        <f t="shared" si="0"/>
        <v>1</v>
      </c>
      <c r="W9" s="256" t="s">
        <v>4</v>
      </c>
      <c r="X9" s="70">
        <f>1/(1-S9)</f>
        <v>0.25</v>
      </c>
      <c r="AD9" s="422" t="s">
        <v>161</v>
      </c>
      <c r="AE9" s="10" t="s">
        <v>4</v>
      </c>
      <c r="AF9" s="249"/>
      <c r="AG9" s="207">
        <v>572.4895161446304</v>
      </c>
      <c r="AH9" s="208">
        <v>4693.503722212354</v>
      </c>
      <c r="AI9" s="209">
        <v>25626.027581030758</v>
      </c>
      <c r="AJ9" s="256" t="s">
        <v>4</v>
      </c>
      <c r="AK9" s="76">
        <f>AH7</f>
        <v>5693.503722212354</v>
      </c>
      <c r="AM9" s="493">
        <f>Utility!M30</f>
        <v>5693.503722212354</v>
      </c>
      <c r="AN9" s="494" t="s">
        <v>4</v>
      </c>
      <c r="AV9" s="2"/>
      <c r="AW9" s="2"/>
      <c r="AX9" s="2"/>
      <c r="AY9" s="2"/>
      <c r="AZ9" s="2"/>
    </row>
    <row r="10" spans="4:52" ht="13.5" customHeight="1" thickBot="1">
      <c r="D10" s="29">
        <f>-F55</f>
        <v>-0.09953505377291161</v>
      </c>
      <c r="F10" s="29">
        <f>(1-1/F61)/Term2</f>
        <v>-0.11931953596743917</v>
      </c>
      <c r="H10" s="458">
        <f>V0</f>
        <v>1</v>
      </c>
      <c r="I10" s="231">
        <f>'Econ 0'!AB5</f>
        <v>0.1</v>
      </c>
      <c r="J10" s="232">
        <f>'Econ 0'!AC5</f>
        <v>0.3333333333333333</v>
      </c>
      <c r="K10" s="392">
        <f>'Econ 0'!AD5</f>
        <v>1</v>
      </c>
      <c r="M10" s="444" t="s">
        <v>211</v>
      </c>
      <c r="Q10" s="238">
        <f>V10-S10</f>
        <v>1</v>
      </c>
      <c r="R10" s="10" t="s">
        <v>0</v>
      </c>
      <c r="S10" s="222">
        <f>-SUM(T10:U10)</f>
        <v>-2</v>
      </c>
      <c r="T10" s="33">
        <f t="shared" si="0"/>
        <v>1</v>
      </c>
      <c r="U10" s="34">
        <f t="shared" si="0"/>
        <v>1</v>
      </c>
      <c r="V10" s="35">
        <f t="shared" si="0"/>
        <v>-1</v>
      </c>
      <c r="W10" s="10" t="s">
        <v>0</v>
      </c>
      <c r="X10" s="261">
        <f>1/(1-S10)</f>
        <v>0.3333333333333333</v>
      </c>
      <c r="AD10" s="422" t="s">
        <v>165</v>
      </c>
      <c r="AE10" s="10" t="s">
        <v>0</v>
      </c>
      <c r="AF10" s="99"/>
      <c r="AG10" s="31">
        <v>58.150744075318954</v>
      </c>
      <c r="AH10" s="32">
        <v>291.23687446415556</v>
      </c>
      <c r="AI10" s="180">
        <f>Zl_2</f>
        <v>-10213.029777057085</v>
      </c>
      <c r="AJ10" s="10" t="s">
        <v>0</v>
      </c>
      <c r="AK10" s="242">
        <f>K10*K51</f>
        <v>-10213.029777057085</v>
      </c>
      <c r="AL10" s="12" t="s">
        <v>90</v>
      </c>
      <c r="AM10" s="493">
        <f>Utility!M45</f>
        <v>-10219.742864345546</v>
      </c>
      <c r="AN10" s="181" t="s">
        <v>0</v>
      </c>
      <c r="AU10" s="2"/>
      <c r="AV10" s="2"/>
      <c r="AW10" s="2"/>
      <c r="AX10" s="2"/>
      <c r="AY10" s="2"/>
      <c r="AZ10" s="2"/>
    </row>
    <row r="11" spans="8:52" ht="13.5" customHeight="1">
      <c r="H11" s="12" t="s">
        <v>6</v>
      </c>
      <c r="Q11" s="42" t="s">
        <v>5</v>
      </c>
      <c r="R11" s="2"/>
      <c r="S11" s="42" t="s">
        <v>7</v>
      </c>
      <c r="T11" s="2"/>
      <c r="U11" s="2"/>
      <c r="V11" s="2"/>
      <c r="W11" s="2"/>
      <c r="X11" s="326" t="s">
        <v>137</v>
      </c>
      <c r="Y11" s="2"/>
      <c r="Z11" s="2"/>
      <c r="AA11" s="2"/>
      <c r="AC11" s="2"/>
      <c r="AF11" s="2"/>
      <c r="AG11" s="2"/>
      <c r="AH11" s="2"/>
      <c r="AI11" s="2"/>
      <c r="AJ11" s="2"/>
      <c r="AL11" s="2"/>
      <c r="AU11" s="2"/>
      <c r="AV11" s="2"/>
      <c r="AW11" s="2"/>
      <c r="AX11" s="2"/>
      <c r="AY11" s="2"/>
      <c r="AZ11" s="2"/>
    </row>
    <row r="12" spans="18:52" ht="13.5" customHeight="1">
      <c r="R12" s="2"/>
      <c r="S12" s="2"/>
      <c r="T12" s="2"/>
      <c r="U12" s="2"/>
      <c r="V12" s="2"/>
      <c r="W12" s="2"/>
      <c r="X12" s="2"/>
      <c r="Y12" s="2"/>
      <c r="Z12" s="2"/>
      <c r="AA12" s="2"/>
      <c r="AB12" s="2"/>
      <c r="AC12" s="2"/>
      <c r="AI12" s="2"/>
      <c r="AJ12" s="2"/>
      <c r="AK12" s="2"/>
      <c r="AU12" s="2"/>
      <c r="AV12" s="2"/>
      <c r="AW12" s="2"/>
      <c r="AX12" s="2"/>
      <c r="AY12" s="2"/>
      <c r="AZ12" s="2"/>
    </row>
    <row r="13" spans="14:52" ht="13.5" customHeight="1">
      <c r="N13" s="2"/>
      <c r="O13" s="2"/>
      <c r="P13" s="2"/>
      <c r="Q13" s="2"/>
      <c r="R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42"/>
      <c r="AY13" s="2"/>
      <c r="AZ13" s="2"/>
    </row>
    <row r="14" spans="14:52" ht="13.5" customHeight="1">
      <c r="N14" s="2"/>
      <c r="AE14" s="355" t="s">
        <v>108</v>
      </c>
      <c r="AF14" s="2"/>
      <c r="AG14" s="2"/>
      <c r="AH14" s="2"/>
      <c r="AI14" s="2"/>
      <c r="AP14" s="2"/>
      <c r="AQ14" s="2"/>
      <c r="AR14" s="2"/>
      <c r="AS14" s="2"/>
      <c r="AT14" s="2"/>
      <c r="AU14" s="2"/>
      <c r="AV14" s="2"/>
      <c r="AW14" s="2"/>
      <c r="AX14" s="42"/>
      <c r="AY14" s="2"/>
      <c r="AZ14" s="2"/>
    </row>
    <row r="15" spans="4:52" ht="13.5" customHeight="1" thickBot="1">
      <c r="D15" s="571">
        <f>-SUM(D21:D24)</f>
        <v>0</v>
      </c>
      <c r="F15" s="571">
        <f>-SUM(F21:F24)</f>
        <v>0</v>
      </c>
      <c r="H15" s="459">
        <v>0</v>
      </c>
      <c r="I15" s="6">
        <v>0</v>
      </c>
      <c r="J15" s="6">
        <v>0</v>
      </c>
      <c r="K15" s="9">
        <v>0</v>
      </c>
      <c r="M15" s="7" t="s">
        <v>191</v>
      </c>
      <c r="N15" s="2"/>
      <c r="Q15" s="571">
        <f>-SUM(Q21:Q24)</f>
        <v>0</v>
      </c>
      <c r="S15" s="5">
        <f>-S19-SUM(S21:S24)</f>
        <v>5.208122821898087E-11</v>
      </c>
      <c r="T15" s="6">
        <f>-T19-SUM(T21:T24)</f>
        <v>-2.9976021664879227E-14</v>
      </c>
      <c r="U15" s="6">
        <f>-U19-SUM(U21:U24)</f>
        <v>-5.684341886080802E-14</v>
      </c>
      <c r="V15" s="312">
        <f>-V19-SUM(V21:V24)</f>
        <v>-5.115907697472721E-13</v>
      </c>
      <c r="X15" s="490" t="s">
        <v>193</v>
      </c>
      <c r="AD15" s="530">
        <f>SUM(AD58:AD60)</f>
        <v>4410204.972525325</v>
      </c>
      <c r="AE15" s="318" t="s">
        <v>109</v>
      </c>
      <c r="AF15" s="5">
        <f>SUM(S58:S60)</f>
        <v>-1658329.2001102557</v>
      </c>
      <c r="AG15" s="6">
        <f>SUM(AG8:AG10)</f>
        <v>1274.9246266514783</v>
      </c>
      <c r="AH15" s="6">
        <f>SUM(AH8:AH10)</f>
        <v>10531.432834063413</v>
      </c>
      <c r="AI15" s="366">
        <f>SUM(AI8:AI9)</f>
        <v>55308.77673155157</v>
      </c>
      <c r="AP15" s="2"/>
      <c r="AQ15" s="2"/>
      <c r="AR15" s="2"/>
      <c r="AS15" s="2"/>
      <c r="AT15" s="2"/>
      <c r="AU15" s="2"/>
      <c r="AV15" s="2"/>
      <c r="AW15" s="2"/>
      <c r="AX15" s="42"/>
      <c r="AY15" s="2"/>
      <c r="AZ15" s="2"/>
    </row>
    <row r="16" spans="3:52" ht="13.5" customHeight="1">
      <c r="C16" s="10"/>
      <c r="D16" s="457"/>
      <c r="G16" s="10"/>
      <c r="H16" s="10" t="s">
        <v>2</v>
      </c>
      <c r="I16" s="10" t="s">
        <v>3</v>
      </c>
      <c r="J16" s="10" t="s">
        <v>4</v>
      </c>
      <c r="K16" s="10" t="s">
        <v>0</v>
      </c>
      <c r="M16" s="2"/>
      <c r="N16" s="2"/>
      <c r="Q16" s="478"/>
      <c r="S16" s="10">
        <v>0</v>
      </c>
      <c r="T16" s="10">
        <v>1</v>
      </c>
      <c r="U16" s="10">
        <v>2</v>
      </c>
      <c r="V16" s="10" t="s">
        <v>0</v>
      </c>
      <c r="W16" s="2"/>
      <c r="X16" s="326"/>
      <c r="AE16" s="178"/>
      <c r="AF16" s="10">
        <v>0</v>
      </c>
      <c r="AG16" s="10">
        <v>1</v>
      </c>
      <c r="AH16" s="10">
        <v>2</v>
      </c>
      <c r="AI16" s="10" t="s">
        <v>0</v>
      </c>
      <c r="AP16" s="2"/>
      <c r="AQ16" s="2"/>
      <c r="AR16" s="2"/>
      <c r="AS16" s="2"/>
      <c r="AT16" s="2"/>
      <c r="AU16" s="2"/>
      <c r="AV16" s="2"/>
      <c r="AW16" s="2"/>
      <c r="AX16" s="42"/>
      <c r="AY16" s="2"/>
      <c r="AZ16" s="2"/>
    </row>
    <row r="17" spans="14:52" ht="13.5" customHeight="1">
      <c r="N17" s="2"/>
      <c r="R17" s="2"/>
      <c r="AP17" s="40"/>
      <c r="AQ17" s="40"/>
      <c r="AR17" s="40"/>
      <c r="AS17" s="40"/>
      <c r="AT17" s="40"/>
      <c r="AU17" s="40"/>
      <c r="AV17" s="40"/>
      <c r="AW17" s="40"/>
      <c r="AX17" s="40"/>
      <c r="AY17" s="40"/>
      <c r="AZ17" s="40"/>
    </row>
    <row r="18" spans="3:52" ht="13.5" customHeight="1">
      <c r="C18" s="233"/>
      <c r="I18" s="2"/>
      <c r="J18" s="2"/>
      <c r="K18" s="2"/>
      <c r="L18" s="2"/>
      <c r="M18" s="2"/>
      <c r="N18" s="2"/>
      <c r="AU18" s="2"/>
      <c r="AV18" s="2"/>
      <c r="AW18" s="2"/>
      <c r="AX18" s="2"/>
      <c r="AY18" s="2"/>
      <c r="AZ18" s="2"/>
    </row>
    <row r="19" spans="7:52" ht="13.5" customHeight="1" thickBot="1">
      <c r="G19" s="2"/>
      <c r="H19" s="459">
        <f>H27+H35+H43</f>
        <v>-1.775201865312978</v>
      </c>
      <c r="I19" s="6">
        <f>I27+I35+I43</f>
        <v>14.542568496323774</v>
      </c>
      <c r="J19" s="6">
        <f>J27+J35+J43</f>
        <v>-88.83870910783077</v>
      </c>
      <c r="K19" s="9">
        <f>K27+K35+K43</f>
        <v>94.2934815939139</v>
      </c>
      <c r="N19" s="2"/>
      <c r="O19" s="2"/>
      <c r="P19" s="2"/>
      <c r="R19" s="2"/>
      <c r="S19" s="459">
        <f>H$10*H19</f>
        <v>-1.775201865312978</v>
      </c>
      <c r="T19" s="6">
        <f>I$10*I19</f>
        <v>1.4542568496323776</v>
      </c>
      <c r="U19" s="6">
        <f>J$10*J19</f>
        <v>-29.61290303594359</v>
      </c>
      <c r="V19" s="312">
        <f>K$10*K19</f>
        <v>94.2934815939139</v>
      </c>
      <c r="W19" s="2"/>
      <c r="Y19" s="2"/>
      <c r="Z19" s="2"/>
      <c r="AA19" s="2"/>
      <c r="AB19" s="2"/>
      <c r="AC19" s="2"/>
      <c r="AE19" s="2"/>
      <c r="AF19" s="406">
        <f>S55+S19</f>
        <v>2291419.514325155</v>
      </c>
      <c r="AG19" s="6">
        <f>AG5+T19</f>
        <v>-2067.7547362333753</v>
      </c>
      <c r="AH19" s="6">
        <f>AH5+U19</f>
        <v>-16254.549459311711</v>
      </c>
      <c r="AI19" s="312">
        <f>AI5+V19</f>
        <v>-53767.45347290057</v>
      </c>
      <c r="AJ19" s="2"/>
      <c r="AK19" s="2"/>
      <c r="AL19" s="2"/>
      <c r="AM19" s="419"/>
      <c r="AN19" s="2"/>
      <c r="AO19" s="2"/>
      <c r="AU19" s="2"/>
      <c r="AV19" s="2"/>
      <c r="AW19" s="2"/>
      <c r="AX19" s="2"/>
      <c r="AY19" s="2"/>
      <c r="AZ19" s="2"/>
    </row>
    <row r="20" spans="4:52" ht="13.5" customHeight="1">
      <c r="D20" s="517" t="s">
        <v>136</v>
      </c>
      <c r="F20" s="517" t="s">
        <v>122</v>
      </c>
      <c r="G20" s="2"/>
      <c r="H20" s="10" t="s">
        <v>2</v>
      </c>
      <c r="I20" s="10">
        <v>1</v>
      </c>
      <c r="J20" s="10">
        <v>2</v>
      </c>
      <c r="K20" s="10" t="s">
        <v>0</v>
      </c>
      <c r="N20" s="2"/>
      <c r="O20" s="2"/>
      <c r="P20" s="2"/>
      <c r="Q20" s="517" t="s">
        <v>10</v>
      </c>
      <c r="R20" s="100" t="s">
        <v>99</v>
      </c>
      <c r="S20" s="10" t="s">
        <v>2</v>
      </c>
      <c r="T20" s="10" t="s">
        <v>3</v>
      </c>
      <c r="U20" s="10" t="s">
        <v>4</v>
      </c>
      <c r="V20" s="10" t="s">
        <v>0</v>
      </c>
      <c r="W20" s="2"/>
      <c r="X20" s="67" t="s">
        <v>19</v>
      </c>
      <c r="Y20" s="2"/>
      <c r="Z20" s="2"/>
      <c r="AA20" s="2"/>
      <c r="AB20" s="2"/>
      <c r="AC20" s="40"/>
      <c r="AD20" s="517" t="s">
        <v>24</v>
      </c>
      <c r="AE20" s="42" t="s">
        <v>107</v>
      </c>
      <c r="AF20" s="10" t="s">
        <v>2</v>
      </c>
      <c r="AG20" s="10" t="s">
        <v>3</v>
      </c>
      <c r="AH20" s="10">
        <v>2</v>
      </c>
      <c r="AI20" s="10" t="s">
        <v>0</v>
      </c>
      <c r="AJ20" s="2"/>
      <c r="AK20" s="267" t="s">
        <v>18</v>
      </c>
      <c r="AL20" s="40"/>
      <c r="AM20" s="489" t="s">
        <v>209</v>
      </c>
      <c r="AN20" s="40"/>
      <c r="AO20" s="40"/>
      <c r="AU20" s="2"/>
      <c r="AV20" s="2"/>
      <c r="AW20" s="2"/>
      <c r="AX20" s="2"/>
      <c r="AY20" s="2"/>
      <c r="AZ20" s="2"/>
    </row>
    <row r="21" spans="3:52" ht="13.5" customHeight="1">
      <c r="C21" s="10" t="s">
        <v>2</v>
      </c>
      <c r="D21" s="518">
        <f>-SUM(D22:D24)</f>
        <v>-144979.6481942411</v>
      </c>
      <c r="E21" s="2"/>
      <c r="F21" s="518">
        <f>-SUM(F22:F24)</f>
        <v>120940.43914928994</v>
      </c>
      <c r="G21" s="10" t="s">
        <v>2</v>
      </c>
      <c r="H21" s="17">
        <f aca="true" t="shared" si="1" ref="H21:K24">H29+H37+H45</f>
        <v>102652.50407027974</v>
      </c>
      <c r="I21" s="56">
        <f t="shared" si="1"/>
        <v>-1001.5402923060088</v>
      </c>
      <c r="J21" s="57">
        <f t="shared" si="1"/>
        <v>-2224.119637375667</v>
      </c>
      <c r="K21" s="57">
        <f t="shared" si="1"/>
        <v>-8766</v>
      </c>
      <c r="L21" s="10" t="s">
        <v>2</v>
      </c>
      <c r="M21" s="2"/>
      <c r="N21" s="2"/>
      <c r="O21" s="2"/>
      <c r="P21" s="2"/>
      <c r="Q21" s="525">
        <f>Nu_2*D21+F$10*F21</f>
        <v>0</v>
      </c>
      <c r="R21" s="10" t="s">
        <v>2</v>
      </c>
      <c r="S21" s="460">
        <f aca="true" t="shared" si="2" ref="S21:V24">H$10*H21</f>
        <v>102652.50407027974</v>
      </c>
      <c r="T21" s="56">
        <f t="shared" si="2"/>
        <v>-100.15402923060088</v>
      </c>
      <c r="U21" s="57">
        <f t="shared" si="2"/>
        <v>-741.3732124585556</v>
      </c>
      <c r="V21" s="57">
        <f t="shared" si="2"/>
        <v>-8766</v>
      </c>
      <c r="W21" s="10" t="s">
        <v>2</v>
      </c>
      <c r="X21" s="241">
        <f>S47</f>
        <v>-102654.14437099297</v>
      </c>
      <c r="Z21" s="558">
        <f>-GPE!E10</f>
        <v>-104588.82611424987</v>
      </c>
      <c r="AA21" s="2"/>
      <c r="AB21" s="2"/>
      <c r="AC21" s="2"/>
      <c r="AD21" s="514">
        <f>AD57+Q21</f>
        <v>-4410204.972525325</v>
      </c>
      <c r="AE21" s="10" t="s">
        <v>2</v>
      </c>
      <c r="AF21" s="69">
        <f>AK21</f>
        <v>-530412.2712425505</v>
      </c>
      <c r="AG21" s="244">
        <f>AK22</f>
        <v>694.0446493354812</v>
      </c>
      <c r="AH21" s="245">
        <f>AK23</f>
        <v>4952.010930442487</v>
      </c>
      <c r="AI21" s="57">
        <f>AI7+V21</f>
        <v>0</v>
      </c>
      <c r="AJ21" s="10" t="s">
        <v>2</v>
      </c>
      <c r="AK21" s="241">
        <f>-T51*AK22-U51*AK23-V51*AK24</f>
        <v>-530412.2712425505</v>
      </c>
      <c r="AL21" s="2"/>
      <c r="AM21" s="424"/>
      <c r="AN21" s="181" t="s">
        <v>2</v>
      </c>
      <c r="AP21" s="2"/>
      <c r="AQ21" s="2"/>
      <c r="AR21" s="2"/>
      <c r="AS21" s="2"/>
      <c r="AT21" s="2"/>
      <c r="AU21" s="2"/>
      <c r="AV21" s="2"/>
      <c r="AW21" s="2"/>
      <c r="AX21" s="2"/>
      <c r="AY21" s="2"/>
      <c r="AZ21" s="2"/>
    </row>
    <row r="22" spans="1:52" ht="13.5" customHeight="1">
      <c r="A22" s="471"/>
      <c r="B22" s="515" t="s">
        <v>245</v>
      </c>
      <c r="C22" s="10" t="s">
        <v>3</v>
      </c>
      <c r="D22" s="519">
        <f>D30</f>
        <v>76679.4582232329</v>
      </c>
      <c r="E22" s="2"/>
      <c r="F22" s="519"/>
      <c r="G22" s="10" t="s">
        <v>3</v>
      </c>
      <c r="H22" s="461">
        <f t="shared" si="1"/>
        <v>-39692.41819127977</v>
      </c>
      <c r="I22" s="194">
        <f t="shared" si="1"/>
        <v>495.6679904741511</v>
      </c>
      <c r="J22" s="195">
        <f t="shared" si="1"/>
        <v>488.00724546907327</v>
      </c>
      <c r="K22" s="195">
        <f t="shared" si="1"/>
        <v>961.6096202873077</v>
      </c>
      <c r="L22" s="256" t="s">
        <v>3</v>
      </c>
      <c r="M22" s="397" t="s">
        <v>149</v>
      </c>
      <c r="N22" s="2"/>
      <c r="O22" s="2"/>
      <c r="P22" s="2"/>
      <c r="Q22" s="526">
        <f>Nu_2*D22+F$10*F22</f>
        <v>-7632.293997527216</v>
      </c>
      <c r="R22" s="10" t="s">
        <v>3</v>
      </c>
      <c r="S22" s="461">
        <f t="shared" si="2"/>
        <v>-39692.41819127977</v>
      </c>
      <c r="T22" s="194">
        <f t="shared" si="2"/>
        <v>49.56679904741512</v>
      </c>
      <c r="U22" s="195">
        <f t="shared" si="2"/>
        <v>162.6690818230244</v>
      </c>
      <c r="V22" s="195">
        <f t="shared" si="2"/>
        <v>961.6096202873077</v>
      </c>
      <c r="W22" s="256" t="s">
        <v>3</v>
      </c>
      <c r="X22" s="76">
        <f>AK8-AK22</f>
        <v>100.23971709604768</v>
      </c>
      <c r="Y22" s="383" t="s">
        <v>256</v>
      </c>
      <c r="AA22" s="7"/>
      <c r="AB22" s="7"/>
      <c r="AC22" s="2"/>
      <c r="AD22" s="519">
        <f>AD58+Q22</f>
        <v>2326935.946279254</v>
      </c>
      <c r="AE22" s="10" t="s">
        <v>3</v>
      </c>
      <c r="AF22" s="393">
        <f>S58+S22</f>
        <v>-906708.2849586686</v>
      </c>
      <c r="AG22" s="194">
        <f aca="true" t="shared" si="3" ref="AG22:AH24">AG8+T22</f>
        <v>693.851165478944</v>
      </c>
      <c r="AH22" s="195">
        <f t="shared" si="3"/>
        <v>5709.361319209928</v>
      </c>
      <c r="AI22" s="195">
        <f>AI8+V22</f>
        <v>30644.358770808118</v>
      </c>
      <c r="AJ22" s="256" t="s">
        <v>3</v>
      </c>
      <c r="AK22" s="76">
        <f>AK8*X30</f>
        <v>694.0446493354812</v>
      </c>
      <c r="AL22" s="2"/>
      <c r="AM22" s="493">
        <f>AD22/Q8</f>
        <v>581733.9865698135</v>
      </c>
      <c r="AN22" s="494" t="s">
        <v>3</v>
      </c>
      <c r="AU22" s="2"/>
      <c r="AV22" s="2"/>
      <c r="AW22" s="2"/>
      <c r="AX22" s="2"/>
      <c r="AY22" s="2"/>
      <c r="AZ22" s="2"/>
    </row>
    <row r="23" spans="1:52" ht="13.5" customHeight="1">
      <c r="A23" s="471"/>
      <c r="B23" s="516" t="s">
        <v>197</v>
      </c>
      <c r="C23" s="10" t="s">
        <v>4</v>
      </c>
      <c r="D23" s="519">
        <f>D31</f>
        <v>68300.18997100819</v>
      </c>
      <c r="E23" s="2"/>
      <c r="F23" s="519"/>
      <c r="G23" s="10" t="s">
        <v>4</v>
      </c>
      <c r="H23" s="462">
        <f t="shared" si="1"/>
        <v>-35715.73790271351</v>
      </c>
      <c r="I23" s="197">
        <f t="shared" si="1"/>
        <v>292.2875660805996</v>
      </c>
      <c r="J23" s="101">
        <f t="shared" si="1"/>
        <v>772.3781889559634</v>
      </c>
      <c r="K23" s="198">
        <f t="shared" si="1"/>
        <v>948.2285649042112</v>
      </c>
      <c r="L23" s="256" t="s">
        <v>4</v>
      </c>
      <c r="M23" s="400" t="s">
        <v>147</v>
      </c>
      <c r="N23" s="2"/>
      <c r="O23" s="548" t="s">
        <v>249</v>
      </c>
      <c r="Q23" s="526">
        <f>Nu_2*D23+F$10*F23</f>
        <v>-6798.263081464379</v>
      </c>
      <c r="R23" s="10" t="s">
        <v>4</v>
      </c>
      <c r="S23" s="462">
        <f t="shared" si="2"/>
        <v>-35715.73790271351</v>
      </c>
      <c r="T23" s="197">
        <f t="shared" si="2"/>
        <v>29.228756608059964</v>
      </c>
      <c r="U23" s="101">
        <f t="shared" si="2"/>
        <v>257.45939631865446</v>
      </c>
      <c r="V23" s="198">
        <f t="shared" si="2"/>
        <v>948.2285649042112</v>
      </c>
      <c r="W23" s="256" t="s">
        <v>4</v>
      </c>
      <c r="X23" s="76">
        <f>AK9-AK23</f>
        <v>741.4927917698669</v>
      </c>
      <c r="AA23" s="2"/>
      <c r="AB23" s="437" t="s">
        <v>181</v>
      </c>
      <c r="AC23" s="433" t="s">
        <v>178</v>
      </c>
      <c r="AD23" s="519">
        <f>AD59+Q23</f>
        <v>2017885.1932980965</v>
      </c>
      <c r="AE23" s="10" t="s">
        <v>4</v>
      </c>
      <c r="AF23" s="405">
        <f>S59+S23</f>
        <v>-786283.2223795064</v>
      </c>
      <c r="AG23" s="197">
        <f t="shared" si="3"/>
        <v>601.7182727526904</v>
      </c>
      <c r="AH23" s="101">
        <f t="shared" si="3"/>
        <v>4950.963118531008</v>
      </c>
      <c r="AI23" s="198">
        <f>AI9+V23</f>
        <v>26574.256145934967</v>
      </c>
      <c r="AJ23" s="256" t="s">
        <v>4</v>
      </c>
      <c r="AK23" s="76">
        <f>AK9*X31</f>
        <v>4952.010930442487</v>
      </c>
      <c r="AL23" s="2"/>
      <c r="AM23" s="493">
        <f>AD23/Q9</f>
        <v>504471.29832452413</v>
      </c>
      <c r="AN23" s="494" t="s">
        <v>4</v>
      </c>
      <c r="AU23" s="2"/>
      <c r="AV23" s="2"/>
      <c r="AW23" s="2"/>
      <c r="AX23" s="2"/>
      <c r="AY23" s="2"/>
      <c r="AZ23" s="2"/>
    </row>
    <row r="24" spans="3:52" ht="13.5" customHeight="1" thickBot="1">
      <c r="C24" s="10" t="s">
        <v>0</v>
      </c>
      <c r="D24" s="513"/>
      <c r="E24" s="2"/>
      <c r="F24" s="513">
        <f>F32+F40+F48</f>
        <v>-120940.43914928994</v>
      </c>
      <c r="G24" s="10" t="s">
        <v>0</v>
      </c>
      <c r="H24" s="463">
        <f t="shared" si="1"/>
        <v>-27242.572774421198</v>
      </c>
      <c r="I24" s="37">
        <f t="shared" si="1"/>
        <v>199.04216725493455</v>
      </c>
      <c r="J24" s="38">
        <f t="shared" si="1"/>
        <v>1052.5729120584613</v>
      </c>
      <c r="K24" s="39">
        <f t="shared" si="1"/>
        <v>6761.868333214567</v>
      </c>
      <c r="L24" s="10" t="s">
        <v>0</v>
      </c>
      <c r="N24" s="2"/>
      <c r="O24" s="2"/>
      <c r="P24" s="2"/>
      <c r="Q24" s="512">
        <f>Nu_2*D24+F$10*F24</f>
        <v>14430.557078991591</v>
      </c>
      <c r="R24" s="10" t="s">
        <v>0</v>
      </c>
      <c r="S24" s="463">
        <f t="shared" si="2"/>
        <v>-27242.572774421198</v>
      </c>
      <c r="T24" s="37">
        <f t="shared" si="2"/>
        <v>19.904216725493455</v>
      </c>
      <c r="U24" s="38">
        <f t="shared" si="2"/>
        <v>350.8576373528204</v>
      </c>
      <c r="V24" s="39">
        <f t="shared" si="2"/>
        <v>6761.868333214567</v>
      </c>
      <c r="W24" s="10" t="s">
        <v>0</v>
      </c>
      <c r="X24" s="269">
        <f>AK10-AK24</f>
        <v>-6761.935940782307</v>
      </c>
      <c r="Y24" s="416" t="s">
        <v>182</v>
      </c>
      <c r="Z24" s="7" t="s">
        <v>255</v>
      </c>
      <c r="AA24" s="2"/>
      <c r="AB24" s="2"/>
      <c r="AC24" s="2"/>
      <c r="AD24" s="513">
        <f>AD60+Q24</f>
        <v>65383.83294797501</v>
      </c>
      <c r="AE24" s="10" t="s">
        <v>0</v>
      </c>
      <c r="AF24" s="298">
        <f>S60+S24</f>
        <v>-67988.42164049501</v>
      </c>
      <c r="AG24" s="37">
        <f t="shared" si="3"/>
        <v>78.05496080081241</v>
      </c>
      <c r="AH24" s="38">
        <f t="shared" si="3"/>
        <v>642.0945118169759</v>
      </c>
      <c r="AI24" s="265">
        <f>AK24</f>
        <v>-3451.093836274779</v>
      </c>
      <c r="AJ24" s="256" t="s">
        <v>0</v>
      </c>
      <c r="AK24" s="269">
        <f>AK10*X32</f>
        <v>-3451.093836274779</v>
      </c>
      <c r="AL24" s="2"/>
      <c r="AM24" s="493">
        <f>AD24/Q10</f>
        <v>65383.83294797501</v>
      </c>
      <c r="AN24" s="181" t="s">
        <v>0</v>
      </c>
      <c r="AO24" s="2"/>
      <c r="AU24" s="2"/>
      <c r="AV24" s="2"/>
      <c r="AW24" s="2"/>
      <c r="AX24" s="2"/>
      <c r="AY24" s="2"/>
      <c r="AZ24" s="2"/>
    </row>
    <row r="25" spans="4:52" ht="13.5" customHeight="1">
      <c r="D25" s="520" t="s">
        <v>95</v>
      </c>
      <c r="E25" s="2"/>
      <c r="F25" s="521" t="s">
        <v>141</v>
      </c>
      <c r="G25" s="2"/>
      <c r="H25" s="2"/>
      <c r="I25" s="2"/>
      <c r="J25" s="2"/>
      <c r="K25" s="2"/>
      <c r="L25" s="2"/>
      <c r="N25" s="2"/>
      <c r="O25" s="2"/>
      <c r="P25" s="2"/>
      <c r="R25" s="2"/>
      <c r="S25" s="2"/>
      <c r="T25" s="2"/>
      <c r="U25" s="2"/>
      <c r="V25" s="2"/>
      <c r="W25" s="2"/>
      <c r="AA25" s="7"/>
      <c r="AB25" s="7"/>
      <c r="AC25" s="2"/>
      <c r="AL25" s="2"/>
      <c r="AU25" s="2"/>
      <c r="AV25" s="2"/>
      <c r="AW25" s="2"/>
      <c r="AX25" s="2"/>
      <c r="AY25" s="2"/>
      <c r="AZ25" s="2"/>
    </row>
    <row r="26" spans="8:52" ht="13.5" customHeight="1">
      <c r="H26" s="280"/>
      <c r="N26" s="2"/>
      <c r="AC26" s="2"/>
      <c r="AU26" s="2"/>
      <c r="AV26" s="2"/>
      <c r="AW26" s="2"/>
      <c r="AX26" s="2"/>
      <c r="AY26" s="2"/>
      <c r="AZ26" s="2"/>
    </row>
    <row r="27" spans="3:52" ht="13.5" customHeight="1" thickBot="1">
      <c r="C27" s="233"/>
      <c r="E27" s="2"/>
      <c r="H27" s="43">
        <v>-0.5790480009233668</v>
      </c>
      <c r="I27" s="44">
        <v>4.87309248513648</v>
      </c>
      <c r="J27" s="44">
        <v>-29.607269430991337</v>
      </c>
      <c r="K27" s="387">
        <v>31.41927491031889</v>
      </c>
      <c r="L27" s="2"/>
      <c r="M27" s="2"/>
      <c r="N27" s="2"/>
      <c r="Q27" s="2"/>
      <c r="R27" s="2"/>
      <c r="S27" s="2"/>
      <c r="T27" s="583" t="s">
        <v>123</v>
      </c>
      <c r="U27" s="583"/>
      <c r="V27" s="2"/>
      <c r="W27" s="2"/>
      <c r="X27" s="2"/>
      <c r="AC27" s="2"/>
      <c r="AL27" s="2"/>
      <c r="AU27" s="2"/>
      <c r="AV27" s="2"/>
      <c r="AW27" s="2"/>
      <c r="AX27" s="2"/>
      <c r="AY27" s="2"/>
      <c r="AZ27" s="2"/>
    </row>
    <row r="28" spans="3:52" ht="13.5" customHeight="1">
      <c r="C28" s="309"/>
      <c r="D28" s="394"/>
      <c r="F28" s="394"/>
      <c r="G28" s="100" t="s">
        <v>93</v>
      </c>
      <c r="H28" s="10">
        <v>0</v>
      </c>
      <c r="I28" s="10">
        <v>1</v>
      </c>
      <c r="J28" s="10">
        <v>2</v>
      </c>
      <c r="K28" s="10" t="s">
        <v>0</v>
      </c>
      <c r="L28" s="2"/>
      <c r="M28" s="2"/>
      <c r="N28" s="2"/>
      <c r="Q28" s="42" t="s">
        <v>14</v>
      </c>
      <c r="R28" s="315" t="s">
        <v>106</v>
      </c>
      <c r="S28" s="256" t="s">
        <v>2</v>
      </c>
      <c r="T28" s="256" t="s">
        <v>3</v>
      </c>
      <c r="U28" s="256" t="s">
        <v>4</v>
      </c>
      <c r="V28" s="256" t="s">
        <v>0</v>
      </c>
      <c r="W28" s="2"/>
      <c r="X28" s="267" t="s">
        <v>92</v>
      </c>
      <c r="Y28" s="2"/>
      <c r="Z28" s="2"/>
      <c r="AC28" s="2"/>
      <c r="AD28" s="517" t="s">
        <v>158</v>
      </c>
      <c r="AF28" s="423" t="s">
        <v>166</v>
      </c>
      <c r="AK28" s="517" t="s">
        <v>210</v>
      </c>
      <c r="AL28" s="2"/>
      <c r="AM28" s="427" t="s">
        <v>213</v>
      </c>
      <c r="AU28" s="2"/>
      <c r="AV28" s="2"/>
      <c r="AW28" s="2"/>
      <c r="AX28" s="2"/>
      <c r="AY28" s="2"/>
      <c r="AZ28" s="2"/>
    </row>
    <row r="29" spans="3:52" ht="13.5" customHeight="1">
      <c r="C29" s="10" t="s">
        <v>2</v>
      </c>
      <c r="D29" s="572">
        <v>0</v>
      </c>
      <c r="F29" s="572">
        <v>0</v>
      </c>
      <c r="G29" s="414" t="s">
        <v>2</v>
      </c>
      <c r="H29" s="464">
        <v>34217.77843366339</v>
      </c>
      <c r="I29" s="52">
        <v>-334.01535456328133</v>
      </c>
      <c r="J29" s="53">
        <v>-741.4354302372533</v>
      </c>
      <c r="K29" s="53">
        <v>-2922</v>
      </c>
      <c r="L29" s="10" t="s">
        <v>2</v>
      </c>
      <c r="M29" s="2"/>
      <c r="N29" s="2"/>
      <c r="O29" s="2"/>
      <c r="P29" s="2"/>
      <c r="Q29" s="68"/>
      <c r="R29" s="10" t="s">
        <v>2</v>
      </c>
      <c r="S29" s="321">
        <f>-X21/AK21</f>
        <v>-0.19353651854719364</v>
      </c>
      <c r="T29" s="567">
        <f>-X22/AG21</f>
        <v>-0.14442834072998478</v>
      </c>
      <c r="U29" s="568">
        <f>-X23/AH21</f>
        <v>-0.1497356936778027</v>
      </c>
      <c r="V29" s="179"/>
      <c r="W29" s="10" t="s">
        <v>2</v>
      </c>
      <c r="X29" s="557">
        <f>AK21/AK7</f>
        <v>0.8378461693130498</v>
      </c>
      <c r="Y29" s="2"/>
      <c r="Z29" s="2"/>
      <c r="AA29" s="2"/>
      <c r="AB29" s="2"/>
      <c r="AC29" s="2"/>
      <c r="AD29" s="514"/>
      <c r="AE29" s="10" t="s">
        <v>2</v>
      </c>
      <c r="AF29" s="17"/>
      <c r="AJ29" s="10" t="s">
        <v>2</v>
      </c>
      <c r="AK29" s="514"/>
      <c r="AL29" s="2"/>
      <c r="AM29" s="424"/>
      <c r="AN29" s="181" t="s">
        <v>2</v>
      </c>
      <c r="AU29" s="2"/>
      <c r="AV29" s="2"/>
      <c r="AW29" s="2"/>
      <c r="AX29" s="2"/>
      <c r="AY29" s="2"/>
      <c r="AZ29" s="2"/>
    </row>
    <row r="30" spans="3:52" ht="13.5" customHeight="1">
      <c r="C30" s="10" t="s">
        <v>3</v>
      </c>
      <c r="D30" s="522">
        <v>76679.4582232329</v>
      </c>
      <c r="F30" s="522"/>
      <c r="G30" s="414" t="s">
        <v>3</v>
      </c>
      <c r="H30" s="465">
        <v>-13230.916705895084</v>
      </c>
      <c r="I30" s="60">
        <v>165.30010887400744</v>
      </c>
      <c r="J30" s="61">
        <v>162.68263321572894</v>
      </c>
      <c r="K30" s="61">
        <v>320.5361438019062</v>
      </c>
      <c r="L30" s="256" t="s">
        <v>3</v>
      </c>
      <c r="M30" s="2"/>
      <c r="N30" s="2"/>
      <c r="O30" s="432" t="s">
        <v>176</v>
      </c>
      <c r="P30" s="433" t="s">
        <v>178</v>
      </c>
      <c r="Q30" s="70">
        <f>T29-S30</f>
        <v>-0.013119815200427487</v>
      </c>
      <c r="R30" s="256" t="s">
        <v>3</v>
      </c>
      <c r="S30" s="71">
        <f>-SUM(T30:V30)</f>
        <v>-0.1313085255295573</v>
      </c>
      <c r="T30" s="72">
        <f aca="true" t="shared" si="4" ref="T30:V31">T22/AG22</f>
        <v>0.07143722099710056</v>
      </c>
      <c r="U30" s="73">
        <f t="shared" si="4"/>
        <v>0.0284916425372663</v>
      </c>
      <c r="V30" s="73">
        <f t="shared" si="4"/>
        <v>0.03137966199519042</v>
      </c>
      <c r="W30" s="256" t="s">
        <v>3</v>
      </c>
      <c r="X30" s="70">
        <f>(1-T30)*(1-U30)*(1-V30)</f>
        <v>0.8737987031692523</v>
      </c>
      <c r="Y30" s="2"/>
      <c r="Z30" s="2"/>
      <c r="AA30" s="2"/>
      <c r="AB30" s="2"/>
      <c r="AC30" s="2"/>
      <c r="AD30" s="519">
        <f>Q22/Q30</f>
        <v>581737.9193937526</v>
      </c>
      <c r="AE30" s="10" t="s">
        <v>3</v>
      </c>
      <c r="AF30" s="510">
        <f>S22/S30</f>
        <v>302283.6333833106</v>
      </c>
      <c r="AJ30" s="256" t="s">
        <v>3</v>
      </c>
      <c r="AK30" s="519">
        <f>(AK46*AK8*AK58)^X8</f>
        <v>581729.1105292556</v>
      </c>
      <c r="AL30" s="2"/>
      <c r="AM30" s="493">
        <f>P0_2*AF30</f>
        <v>581792.9636742072</v>
      </c>
      <c r="AN30" s="494" t="s">
        <v>3</v>
      </c>
      <c r="AU30" s="2"/>
      <c r="AV30" s="2"/>
      <c r="AW30" s="2"/>
      <c r="AX30" s="2"/>
      <c r="AY30" s="2"/>
      <c r="AZ30" s="2"/>
    </row>
    <row r="31" spans="3:52" ht="13.5" customHeight="1">
      <c r="C31" s="10" t="s">
        <v>4</v>
      </c>
      <c r="D31" s="522">
        <v>68300.18997100819</v>
      </c>
      <c r="F31" s="522"/>
      <c r="G31" s="414" t="s">
        <v>4</v>
      </c>
      <c r="H31" s="466">
        <v>-11905.358599854993</v>
      </c>
      <c r="I31" s="224">
        <v>97.47580347335969</v>
      </c>
      <c r="J31" s="225">
        <v>257.48029114953033</v>
      </c>
      <c r="K31" s="226">
        <v>316.07703336725064</v>
      </c>
      <c r="L31" s="256" t="s">
        <v>4</v>
      </c>
      <c r="M31" s="2"/>
      <c r="N31" s="2"/>
      <c r="O31" s="434" t="s">
        <v>177</v>
      </c>
      <c r="P31" s="2"/>
      <c r="Q31" s="70">
        <f>U29-S31</f>
        <v>-0.013476103766988934</v>
      </c>
      <c r="R31" s="256" t="s">
        <v>4</v>
      </c>
      <c r="S31" s="257">
        <f>-SUM(T31:V31)</f>
        <v>-0.13625958991081377</v>
      </c>
      <c r="T31" s="258">
        <f t="shared" si="4"/>
        <v>0.04857548446110286</v>
      </c>
      <c r="U31" s="259">
        <f t="shared" si="4"/>
        <v>0.05200188128144344</v>
      </c>
      <c r="V31" s="260">
        <f t="shared" si="4"/>
        <v>0.035682224168267475</v>
      </c>
      <c r="W31" s="256" t="s">
        <v>4</v>
      </c>
      <c r="X31" s="70">
        <f>(1-T31)*(1-U31)*(1-V31)</f>
        <v>0.869765116886278</v>
      </c>
      <c r="Y31" s="2"/>
      <c r="Z31" s="2"/>
      <c r="AA31" s="2"/>
      <c r="AB31" s="2"/>
      <c r="AC31" s="7"/>
      <c r="AD31" s="519">
        <f>Q23/Q31</f>
        <v>504467.9975021716</v>
      </c>
      <c r="AE31" s="10" t="s">
        <v>4</v>
      </c>
      <c r="AF31" s="510">
        <f>S23/S31</f>
        <v>262115.40726117403</v>
      </c>
      <c r="AJ31" s="256" t="s">
        <v>4</v>
      </c>
      <c r="AK31" s="519">
        <f>(AK47*AK9*AK59)^X9</f>
        <v>504467.3236410078</v>
      </c>
      <c r="AL31" s="2"/>
      <c r="AM31" s="493">
        <f>P0_2*AF31</f>
        <v>504482.8193585216</v>
      </c>
      <c r="AN31" s="494" t="s">
        <v>4</v>
      </c>
      <c r="AU31" s="2"/>
      <c r="AV31" s="2"/>
      <c r="AW31" s="2"/>
      <c r="AX31" s="2"/>
      <c r="AY31" s="2"/>
      <c r="AZ31" s="2"/>
    </row>
    <row r="32" spans="3:52" ht="13.5" customHeight="1" thickBot="1">
      <c r="C32" s="10" t="s">
        <v>0</v>
      </c>
      <c r="D32" s="523"/>
      <c r="F32" s="523">
        <v>-40327.94883696976</v>
      </c>
      <c r="G32" s="414" t="s">
        <v>0</v>
      </c>
      <c r="H32" s="467">
        <v>-9080.924079912405</v>
      </c>
      <c r="I32" s="227">
        <v>66.36634973077796</v>
      </c>
      <c r="J32" s="228">
        <v>350.87977530298565</v>
      </c>
      <c r="K32" s="229">
        <v>2253.9675479205243</v>
      </c>
      <c r="L32" s="10" t="s">
        <v>0</v>
      </c>
      <c r="M32" s="2"/>
      <c r="N32" s="2"/>
      <c r="Q32" s="261">
        <f>V32-S32</f>
        <v>0.2207253470241286</v>
      </c>
      <c r="R32" s="256" t="s">
        <v>0</v>
      </c>
      <c r="S32" s="262">
        <f>-SUM(T32:U32)</f>
        <v>-0.8014293656030451</v>
      </c>
      <c r="T32" s="263">
        <f>T24/AG24</f>
        <v>0.2550025843493382</v>
      </c>
      <c r="U32" s="264">
        <f>U24/AH24</f>
        <v>0.5464267812537069</v>
      </c>
      <c r="V32" s="569">
        <f>(AI7+X24)/AI24</f>
        <v>-0.5807040185789165</v>
      </c>
      <c r="W32" s="10" t="s">
        <v>0</v>
      </c>
      <c r="X32" s="268">
        <f>(1-T32)*(1-U32)</f>
        <v>0.33791087577434065</v>
      </c>
      <c r="Y32" s="2"/>
      <c r="Z32" s="2"/>
      <c r="AA32" s="2"/>
      <c r="AB32" s="2"/>
      <c r="AC32" s="2"/>
      <c r="AD32" s="513">
        <f>Q24/Q32</f>
        <v>65377.888283098335</v>
      </c>
      <c r="AE32" s="10" t="s">
        <v>0</v>
      </c>
      <c r="AF32" s="511">
        <f>S24/S32</f>
        <v>33992.48136349758</v>
      </c>
      <c r="AJ32" s="256" t="s">
        <v>0</v>
      </c>
      <c r="AK32" s="513">
        <f>(AK48*AK10*AK60)^X10</f>
        <v>65455.67311167505</v>
      </c>
      <c r="AL32" s="2"/>
      <c r="AM32" s="493">
        <f>P0_2*AF32</f>
        <v>65423.9406009515</v>
      </c>
      <c r="AN32" s="181" t="s">
        <v>0</v>
      </c>
      <c r="AU32" s="2"/>
      <c r="AV32" s="2"/>
      <c r="AW32" s="2"/>
      <c r="AX32" s="2"/>
      <c r="AY32" s="2"/>
      <c r="AZ32" s="2"/>
    </row>
    <row r="33" spans="2:52" ht="13.5" customHeight="1">
      <c r="B33" s="2"/>
      <c r="C33" s="2"/>
      <c r="F33" s="2"/>
      <c r="G33" s="2"/>
      <c r="H33" s="2"/>
      <c r="I33" s="2"/>
      <c r="J33" s="2"/>
      <c r="K33" s="2"/>
      <c r="L33" s="2"/>
      <c r="M33" s="2"/>
      <c r="N33" s="2"/>
      <c r="V33" s="344" t="s">
        <v>183</v>
      </c>
      <c r="Y33" s="2"/>
      <c r="Z33" s="2"/>
      <c r="AA33" s="2"/>
      <c r="AB33" s="2"/>
      <c r="AL33" s="2"/>
      <c r="AM33" s="2"/>
      <c r="AU33" s="2"/>
      <c r="AV33" s="2"/>
      <c r="AW33" s="2"/>
      <c r="AX33" s="2"/>
      <c r="AY33" s="2"/>
      <c r="AZ33" s="2"/>
    </row>
    <row r="34" spans="6:52" ht="13.5" customHeight="1">
      <c r="F34" s="2"/>
      <c r="G34" s="2"/>
      <c r="H34" s="2"/>
      <c r="I34" s="2"/>
      <c r="J34" s="2"/>
      <c r="K34" s="2"/>
      <c r="M34" s="2"/>
      <c r="N34" s="2"/>
      <c r="Y34" s="2"/>
      <c r="Z34" s="2"/>
      <c r="AA34" s="2"/>
      <c r="AB34" s="2"/>
      <c r="AT34" s="2"/>
      <c r="AU34" s="2"/>
      <c r="AV34" s="2"/>
      <c r="AW34" s="2"/>
      <c r="AX34" s="2"/>
      <c r="AY34" s="2"/>
      <c r="AZ34" s="2"/>
    </row>
    <row r="35" spans="7:52" ht="13.5" customHeight="1" thickBot="1">
      <c r="G35" s="2"/>
      <c r="H35" s="43">
        <v>-0.5917055070588589</v>
      </c>
      <c r="I35" s="44">
        <v>4.8488480589102165</v>
      </c>
      <c r="J35" s="44">
        <v>-29.612900946560746</v>
      </c>
      <c r="K35" s="387">
        <v>31.43107235269256</v>
      </c>
      <c r="M35" s="2"/>
      <c r="N35" s="2"/>
      <c r="R35" s="2"/>
      <c r="S35" s="5">
        <f>-SUM(T35:V35)</f>
        <v>2291588.643941436</v>
      </c>
      <c r="T35" s="46">
        <f>-SUM(T37:T40)</f>
        <v>-900675.1553912928</v>
      </c>
      <c r="U35" s="46">
        <f>-SUM(U37:U40)</f>
        <v>-860506.9292691562</v>
      </c>
      <c r="V35" s="386">
        <f>-SUM(V37:V40)</f>
        <v>-530406.559280987</v>
      </c>
      <c r="AB35" s="2"/>
      <c r="AC35" s="2"/>
      <c r="AD35" s="2"/>
      <c r="AE35" s="2"/>
      <c r="AF35" s="533">
        <f>-SUM(AG35:AI35)</f>
        <v>4410201.555866796</v>
      </c>
      <c r="AG35" s="534">
        <f>-SUM(AG37:AG40)</f>
        <v>-1733321.7245727752</v>
      </c>
      <c r="AH35" s="534">
        <f>-SUM(AH37:AH40)</f>
        <v>-1656051.8026811942</v>
      </c>
      <c r="AI35" s="556">
        <f>-SUM(AI37:AI40)</f>
        <v>-1020828.0286128258</v>
      </c>
      <c r="AM35" s="487" t="s">
        <v>207</v>
      </c>
      <c r="AN35" s="447"/>
      <c r="AT35" s="2"/>
      <c r="AU35" s="2"/>
      <c r="AV35" s="2"/>
      <c r="AW35" s="2"/>
      <c r="AX35" s="2"/>
      <c r="AY35" s="2"/>
      <c r="AZ35" s="2"/>
    </row>
    <row r="36" spans="6:52" ht="13.5" customHeight="1">
      <c r="F36" s="394"/>
      <c r="G36" s="100" t="s">
        <v>94</v>
      </c>
      <c r="H36" s="10">
        <v>0</v>
      </c>
      <c r="I36" s="10">
        <v>1</v>
      </c>
      <c r="J36" s="10">
        <v>2</v>
      </c>
      <c r="K36" s="10" t="s">
        <v>0</v>
      </c>
      <c r="L36" s="2"/>
      <c r="M36" s="2"/>
      <c r="N36" s="2"/>
      <c r="Q36" s="266" t="s">
        <v>11</v>
      </c>
      <c r="R36" s="271" t="s">
        <v>105</v>
      </c>
      <c r="S36" s="256" t="s">
        <v>2</v>
      </c>
      <c r="T36" s="256" t="s">
        <v>3</v>
      </c>
      <c r="U36" s="256" t="s">
        <v>4</v>
      </c>
      <c r="V36" s="256" t="s">
        <v>0</v>
      </c>
      <c r="W36" s="2"/>
      <c r="Y36" s="2"/>
      <c r="Z36" s="2"/>
      <c r="AA36" s="2"/>
      <c r="AB36" s="2"/>
      <c r="AC36" s="2"/>
      <c r="AD36" s="517" t="s">
        <v>25</v>
      </c>
      <c r="AE36" s="520" t="s">
        <v>253</v>
      </c>
      <c r="AF36" s="256" t="s">
        <v>2</v>
      </c>
      <c r="AG36" s="256" t="s">
        <v>3</v>
      </c>
      <c r="AH36" s="256" t="s">
        <v>4</v>
      </c>
      <c r="AI36" s="256" t="s">
        <v>0</v>
      </c>
      <c r="AJ36" s="2"/>
      <c r="AM36" s="488" t="s">
        <v>216</v>
      </c>
      <c r="AN36" s="447"/>
      <c r="AT36" s="2"/>
      <c r="AU36" s="2"/>
      <c r="AV36" s="2"/>
      <c r="AW36" s="2"/>
      <c r="AX36" s="2"/>
      <c r="AY36" s="2"/>
      <c r="AZ36" s="2"/>
    </row>
    <row r="37" spans="6:52" ht="13.5" customHeight="1">
      <c r="F37" s="572">
        <v>0</v>
      </c>
      <c r="G37" s="414" t="s">
        <v>2</v>
      </c>
      <c r="H37" s="464">
        <v>34217.50354147956</v>
      </c>
      <c r="I37" s="52">
        <v>-333.86128478854334</v>
      </c>
      <c r="J37" s="53">
        <v>-741.374435387547</v>
      </c>
      <c r="K37" s="53">
        <v>-2922</v>
      </c>
      <c r="L37" s="10" t="s">
        <v>2</v>
      </c>
      <c r="M37" s="2"/>
      <c r="N37" s="2"/>
      <c r="Q37" s="17">
        <f>-SUM(Q38:Q40)</f>
        <v>-2291588.643941436</v>
      </c>
      <c r="R37" s="10" t="s">
        <v>2</v>
      </c>
      <c r="S37" s="241">
        <f>-S35-SUM(S38:S40)</f>
        <v>-530406.5592809871</v>
      </c>
      <c r="T37" s="58">
        <f>T7*AF30</f>
        <v>302283.6333833106</v>
      </c>
      <c r="U37" s="59">
        <f>U7*AF31</f>
        <v>262115.40726117403</v>
      </c>
      <c r="V37" s="59">
        <f>V7*AF32</f>
        <v>0</v>
      </c>
      <c r="W37" s="10" t="s">
        <v>2</v>
      </c>
      <c r="AB37" s="2"/>
      <c r="AC37" s="2"/>
      <c r="AD37" s="514">
        <f>-SUM(AD38:AD40)</f>
        <v>-4410201.555866795</v>
      </c>
      <c r="AE37" s="10" t="s">
        <v>2</v>
      </c>
      <c r="AF37" s="514">
        <f>-AF35-SUM(AF38:AF40)</f>
        <v>-1020828.0286128265</v>
      </c>
      <c r="AG37" s="536">
        <f>T7*AD30</f>
        <v>581737.9193937526</v>
      </c>
      <c r="AH37" s="537">
        <f>U7*AD31</f>
        <v>504467.9975021716</v>
      </c>
      <c r="AI37" s="537">
        <f>V7*AD32</f>
        <v>0</v>
      </c>
      <c r="AJ37" s="10" t="s">
        <v>2</v>
      </c>
      <c r="AL37" s="2"/>
      <c r="AM37" s="424"/>
      <c r="AN37" s="181" t="s">
        <v>2</v>
      </c>
      <c r="AT37" s="2"/>
      <c r="AU37" s="2"/>
      <c r="AV37" s="2"/>
      <c r="AW37" s="2"/>
      <c r="AX37" s="2"/>
      <c r="AY37" s="2"/>
      <c r="AZ37" s="2"/>
    </row>
    <row r="38" spans="6:52" ht="13.5" customHeight="1">
      <c r="F38" s="522"/>
      <c r="G38" s="414" t="s">
        <v>3</v>
      </c>
      <c r="H38" s="465">
        <v>-13230.806872230714</v>
      </c>
      <c r="I38" s="60">
        <v>165.23093847910158</v>
      </c>
      <c r="J38" s="61">
        <v>162.6693364643012</v>
      </c>
      <c r="K38" s="61">
        <v>320.53653534607486</v>
      </c>
      <c r="L38" s="256" t="s">
        <v>3</v>
      </c>
      <c r="M38" s="2"/>
      <c r="N38" s="2"/>
      <c r="Q38" s="75">
        <f>Q8*$AF30</f>
        <v>1209134.5335332423</v>
      </c>
      <c r="R38" s="256" t="s">
        <v>3</v>
      </c>
      <c r="S38" s="248">
        <f aca="true" t="shared" si="5" ref="S38:V40">S8*$AF30</f>
        <v>-906850.9001499317</v>
      </c>
      <c r="T38" s="272">
        <f t="shared" si="5"/>
        <v>302283.6333833106</v>
      </c>
      <c r="U38" s="273">
        <f t="shared" si="5"/>
        <v>302283.6333833106</v>
      </c>
      <c r="V38" s="273">
        <f t="shared" si="5"/>
        <v>302283.6333833106</v>
      </c>
      <c r="W38" s="256" t="s">
        <v>3</v>
      </c>
      <c r="AB38" s="2"/>
      <c r="AC38" s="2"/>
      <c r="AD38" s="519">
        <f>Q8*$AD30</f>
        <v>2326951.6775750103</v>
      </c>
      <c r="AE38" s="256" t="s">
        <v>3</v>
      </c>
      <c r="AF38" s="538">
        <f aca="true" t="shared" si="6" ref="AF38:AI40">S8*$AD30</f>
        <v>-1745213.7581812576</v>
      </c>
      <c r="AG38" s="539">
        <f t="shared" si="6"/>
        <v>581737.9193937526</v>
      </c>
      <c r="AH38" s="540">
        <f t="shared" si="6"/>
        <v>581737.9193937526</v>
      </c>
      <c r="AI38" s="540">
        <f t="shared" si="6"/>
        <v>581737.9193937526</v>
      </c>
      <c r="AJ38" s="10" t="s">
        <v>3</v>
      </c>
      <c r="AL38" s="2"/>
      <c r="AM38" s="493">
        <f>(AF58+AF86)/S8</f>
        <v>581708.397802957</v>
      </c>
      <c r="AN38" s="494" t="s">
        <v>3</v>
      </c>
      <c r="AT38" s="2"/>
      <c r="AU38" s="2"/>
      <c r="AV38" s="2"/>
      <c r="AW38" s="2"/>
      <c r="AX38" s="2"/>
      <c r="AY38" s="2"/>
      <c r="AZ38" s="2"/>
    </row>
    <row r="39" spans="2:52" ht="13.5" customHeight="1">
      <c r="B39" s="421" t="s">
        <v>189</v>
      </c>
      <c r="F39" s="522"/>
      <c r="G39" s="414" t="s">
        <v>4</v>
      </c>
      <c r="H39" s="466">
        <v>-11905.24687970851</v>
      </c>
      <c r="I39" s="224">
        <v>97.43203649718741</v>
      </c>
      <c r="J39" s="225">
        <v>257.45985630333007</v>
      </c>
      <c r="K39" s="226">
        <v>316.0761958962727</v>
      </c>
      <c r="L39" s="256" t="s">
        <v>4</v>
      </c>
      <c r="M39" s="2"/>
      <c r="N39" s="2"/>
      <c r="Q39" s="75">
        <f>Q9*$AF31</f>
        <v>1048461.6290446961</v>
      </c>
      <c r="R39" s="256" t="s">
        <v>4</v>
      </c>
      <c r="S39" s="249">
        <f t="shared" si="5"/>
        <v>-786346.221783522</v>
      </c>
      <c r="T39" s="274">
        <f t="shared" si="5"/>
        <v>262115.40726117403</v>
      </c>
      <c r="U39" s="275">
        <f t="shared" si="5"/>
        <v>262115.40726117403</v>
      </c>
      <c r="V39" s="276">
        <f t="shared" si="5"/>
        <v>262115.40726117403</v>
      </c>
      <c r="W39" s="256" t="s">
        <v>4</v>
      </c>
      <c r="AB39" s="2"/>
      <c r="AC39" s="2"/>
      <c r="AD39" s="519">
        <f>Q9*$AD31</f>
        <v>2017871.9900086864</v>
      </c>
      <c r="AE39" s="256" t="s">
        <v>4</v>
      </c>
      <c r="AF39" s="541">
        <f t="shared" si="6"/>
        <v>-1513403.9925065148</v>
      </c>
      <c r="AG39" s="542">
        <f t="shared" si="6"/>
        <v>504467.9975021716</v>
      </c>
      <c r="AH39" s="543">
        <f t="shared" si="6"/>
        <v>504467.9975021716</v>
      </c>
      <c r="AI39" s="547">
        <f t="shared" si="6"/>
        <v>504467.9975021716</v>
      </c>
      <c r="AJ39" s="10" t="s">
        <v>4</v>
      </c>
      <c r="AL39" s="2"/>
      <c r="AM39" s="493">
        <f>(AF59+AF87)/S9</f>
        <v>504448.5088884291</v>
      </c>
      <c r="AN39" s="494" t="s">
        <v>4</v>
      </c>
      <c r="AT39" s="320"/>
      <c r="AW39" s="2"/>
      <c r="AX39" s="2"/>
      <c r="AY39" s="2"/>
      <c r="AZ39" s="2"/>
    </row>
    <row r="40" spans="2:52" ht="13.5" customHeight="1" thickBot="1">
      <c r="B40" s="421" t="s">
        <v>164</v>
      </c>
      <c r="F40" s="523">
        <v>-40314.06066857186</v>
      </c>
      <c r="G40" s="414" t="s">
        <v>0</v>
      </c>
      <c r="H40" s="467">
        <v>-9080.858084033287</v>
      </c>
      <c r="I40" s="227">
        <v>66.34946175334422</v>
      </c>
      <c r="J40" s="228">
        <v>350.8581435664766</v>
      </c>
      <c r="K40" s="229">
        <v>2253.9561964049603</v>
      </c>
      <c r="L40" s="256" t="s">
        <v>0</v>
      </c>
      <c r="M40" s="2"/>
      <c r="N40" s="2"/>
      <c r="O40" s="2"/>
      <c r="P40" s="2"/>
      <c r="Q40" s="236">
        <f>Q10*$AF32</f>
        <v>33992.48136349758</v>
      </c>
      <c r="R40" s="256" t="s">
        <v>0</v>
      </c>
      <c r="S40" s="298">
        <f t="shared" si="5"/>
        <v>-67984.96272699516</v>
      </c>
      <c r="T40" s="277">
        <f t="shared" si="5"/>
        <v>33992.48136349758</v>
      </c>
      <c r="U40" s="278">
        <f t="shared" si="5"/>
        <v>33992.48136349758</v>
      </c>
      <c r="V40" s="279">
        <f t="shared" si="5"/>
        <v>-33992.48136349758</v>
      </c>
      <c r="W40" s="256" t="s">
        <v>0</v>
      </c>
      <c r="Y40" s="2"/>
      <c r="Z40" s="2"/>
      <c r="AA40" s="2"/>
      <c r="AB40" s="2"/>
      <c r="AC40" s="2"/>
      <c r="AD40" s="513">
        <f>Q10*$AD32</f>
        <v>65377.888283098335</v>
      </c>
      <c r="AE40" s="256" t="s">
        <v>0</v>
      </c>
      <c r="AF40" s="544">
        <f t="shared" si="6"/>
        <v>-130755.77656619667</v>
      </c>
      <c r="AG40" s="545">
        <f t="shared" si="6"/>
        <v>65377.888283098335</v>
      </c>
      <c r="AH40" s="546">
        <f t="shared" si="6"/>
        <v>65377.888283098335</v>
      </c>
      <c r="AI40" s="555">
        <f t="shared" si="6"/>
        <v>-65377.888283098335</v>
      </c>
      <c r="AJ40" s="10" t="s">
        <v>0</v>
      </c>
      <c r="AL40" s="2"/>
      <c r="AM40" s="493">
        <f>(AF60+AF88)/S10</f>
        <v>65434.04844982714</v>
      </c>
      <c r="AN40" s="181" t="s">
        <v>0</v>
      </c>
      <c r="AP40" s="2"/>
      <c r="AQ40" s="2"/>
      <c r="AR40" s="2"/>
      <c r="AS40" s="2"/>
      <c r="AT40" s="2"/>
      <c r="AW40" s="2"/>
      <c r="AX40" s="2"/>
      <c r="AY40" s="2"/>
      <c r="AZ40" s="2"/>
    </row>
    <row r="41" spans="6:52" ht="13.5" customHeight="1">
      <c r="F41" s="2"/>
      <c r="G41" s="2"/>
      <c r="H41" s="2"/>
      <c r="I41" s="2"/>
      <c r="J41" s="2"/>
      <c r="K41" s="2"/>
      <c r="L41" s="2"/>
      <c r="M41" s="2"/>
      <c r="N41" s="2"/>
      <c r="O41" s="2"/>
      <c r="P41" s="2"/>
      <c r="Q41" s="2"/>
      <c r="R41" s="2"/>
      <c r="W41" s="2"/>
      <c r="Y41" s="2"/>
      <c r="Z41" s="2"/>
      <c r="AA41" s="2"/>
      <c r="AB41" s="2"/>
      <c r="AC41" s="2"/>
      <c r="AT41" s="2"/>
      <c r="AU41" s="2"/>
      <c r="AV41" s="2"/>
      <c r="AW41" s="2"/>
      <c r="AX41" s="2"/>
      <c r="AY41" s="2"/>
      <c r="AZ41" s="2"/>
    </row>
    <row r="42" spans="6:52" ht="13.5" customHeight="1">
      <c r="F42" s="2"/>
      <c r="G42" s="2"/>
      <c r="H42" s="2"/>
      <c r="I42" s="2"/>
      <c r="J42" s="2"/>
      <c r="K42" s="2"/>
      <c r="M42" s="2"/>
      <c r="N42" s="2"/>
      <c r="O42" s="2"/>
      <c r="P42" s="2"/>
      <c r="R42" s="316" t="s">
        <v>108</v>
      </c>
      <c r="S42" s="2"/>
      <c r="T42" s="2"/>
      <c r="U42" s="2"/>
      <c r="V42" s="2"/>
      <c r="Y42" s="2"/>
      <c r="Z42" s="2"/>
      <c r="AA42" s="2"/>
      <c r="AB42" s="2"/>
      <c r="AC42" s="435" t="s">
        <v>175</v>
      </c>
      <c r="AD42" s="2"/>
      <c r="AE42" s="2"/>
      <c r="AT42" s="2"/>
      <c r="AU42" s="2"/>
      <c r="AV42" s="2"/>
      <c r="AW42" s="2"/>
      <c r="AX42" s="2"/>
      <c r="AY42" s="2"/>
      <c r="AZ42" s="2"/>
    </row>
    <row r="43" spans="7:52" ht="13.5" customHeight="1" thickBot="1">
      <c r="G43" s="2"/>
      <c r="H43" s="43">
        <v>-0.6044483573307522</v>
      </c>
      <c r="I43" s="44">
        <v>4.8206279522770785</v>
      </c>
      <c r="J43" s="44">
        <v>-29.61853873027868</v>
      </c>
      <c r="K43" s="387">
        <v>31.443134330902442</v>
      </c>
      <c r="M43" s="2"/>
      <c r="N43" s="2"/>
      <c r="O43" s="2"/>
      <c r="P43" s="2"/>
      <c r="Q43" s="312">
        <f>SUM(Q38:Q40)</f>
        <v>2291588.643941436</v>
      </c>
      <c r="R43" s="266" t="s">
        <v>16</v>
      </c>
      <c r="S43" s="5">
        <f>SUM(S38:S40)</f>
        <v>-1761182.0846604488</v>
      </c>
      <c r="T43" s="46">
        <f>SUM(T38:T40)</f>
        <v>598391.5220079821</v>
      </c>
      <c r="U43" s="46">
        <f>SUM(U38:U40)</f>
        <v>598391.5220079821</v>
      </c>
      <c r="V43" s="366">
        <f>SUM(V38:V39)</f>
        <v>564399.0406444846</v>
      </c>
      <c r="Y43" s="2"/>
      <c r="Z43" s="2"/>
      <c r="AA43" s="2"/>
      <c r="AB43" s="2"/>
      <c r="AC43" s="435" t="s">
        <v>150</v>
      </c>
      <c r="AE43" s="2"/>
      <c r="AF43" s="80">
        <f>AF35/AF19</f>
        <v>1.924659159222375</v>
      </c>
      <c r="AG43" s="47">
        <f>AG35/AG19</f>
        <v>838.2627272953059</v>
      </c>
      <c r="AH43" s="47">
        <f>AH35/AH19</f>
        <v>101.88235649512237</v>
      </c>
      <c r="AI43" s="49">
        <f>AI35/AI19</f>
        <v>18.985984320930044</v>
      </c>
      <c r="AM43" s="483" t="s">
        <v>207</v>
      </c>
      <c r="AN43" s="484" t="s">
        <v>214</v>
      </c>
      <c r="AT43" s="2"/>
      <c r="AU43" s="2"/>
      <c r="AV43" s="2"/>
      <c r="AW43" s="2"/>
      <c r="AX43" s="2"/>
      <c r="AY43" s="2"/>
      <c r="AZ43" s="2"/>
    </row>
    <row r="44" spans="1:52" ht="13.5" customHeight="1">
      <c r="A44" s="2"/>
      <c r="F44" s="394"/>
      <c r="G44" s="100" t="s">
        <v>79</v>
      </c>
      <c r="H44" s="10">
        <v>0</v>
      </c>
      <c r="I44" s="10">
        <v>1</v>
      </c>
      <c r="J44" s="10">
        <v>2</v>
      </c>
      <c r="K44" s="10" t="s">
        <v>0</v>
      </c>
      <c r="M44" s="2"/>
      <c r="N44" s="2"/>
      <c r="O44" s="2"/>
      <c r="P44" s="2"/>
      <c r="R44" s="2"/>
      <c r="S44" s="10">
        <v>0</v>
      </c>
      <c r="T44" s="10">
        <v>1</v>
      </c>
      <c r="U44" s="10">
        <v>2</v>
      </c>
      <c r="V44" s="10" t="s">
        <v>0</v>
      </c>
      <c r="AA44" s="2"/>
      <c r="AD44" s="2"/>
      <c r="AE44" s="375" t="s">
        <v>145</v>
      </c>
      <c r="AF44" s="256" t="s">
        <v>2</v>
      </c>
      <c r="AG44" s="256" t="s">
        <v>3</v>
      </c>
      <c r="AH44" s="10">
        <v>2</v>
      </c>
      <c r="AI44" s="256" t="s">
        <v>0</v>
      </c>
      <c r="AJ44" s="2"/>
      <c r="AK44" s="42" t="s">
        <v>66</v>
      </c>
      <c r="AM44" s="485" t="s">
        <v>215</v>
      </c>
      <c r="AN44" s="482"/>
      <c r="AU44" s="2"/>
      <c r="AV44" s="2"/>
      <c r="AW44" s="2"/>
      <c r="AX44" s="2"/>
      <c r="AY44" s="2"/>
      <c r="AZ44" s="2"/>
    </row>
    <row r="45" spans="6:52" ht="13.5" customHeight="1">
      <c r="F45" s="572">
        <v>0</v>
      </c>
      <c r="G45" s="414" t="s">
        <v>2</v>
      </c>
      <c r="H45" s="464">
        <v>34217.22209513679</v>
      </c>
      <c r="I45" s="52">
        <v>-333.66365295418416</v>
      </c>
      <c r="J45" s="53">
        <v>-741.3097717508667</v>
      </c>
      <c r="K45" s="53">
        <v>-2922</v>
      </c>
      <c r="L45" s="10" t="s">
        <v>2</v>
      </c>
      <c r="M45" s="2"/>
      <c r="N45" s="2"/>
      <c r="O45" s="2"/>
      <c r="P45" s="2"/>
      <c r="Q45" s="2"/>
      <c r="R45" s="2"/>
      <c r="S45" s="2"/>
      <c r="T45" s="2"/>
      <c r="U45" s="2"/>
      <c r="V45" s="2"/>
      <c r="AA45" s="2"/>
      <c r="AB45" s="2"/>
      <c r="AC45" s="438" t="s">
        <v>195</v>
      </c>
      <c r="AD45" s="321">
        <f>AD37/AD21</f>
        <v>0.9999992252835069</v>
      </c>
      <c r="AE45" s="10" t="s">
        <v>2</v>
      </c>
      <c r="AF45" s="321">
        <f aca="true" t="shared" si="7" ref="AF45:AH48">AF37/AF21</f>
        <v>1.9245935359327602</v>
      </c>
      <c r="AG45" s="322">
        <f t="shared" si="7"/>
        <v>838.1851512733978</v>
      </c>
      <c r="AH45" s="323">
        <f t="shared" si="7"/>
        <v>101.87134168080176</v>
      </c>
      <c r="AI45" s="182"/>
      <c r="AJ45" s="10" t="s">
        <v>2</v>
      </c>
      <c r="AK45" s="68"/>
      <c r="AM45" s="424"/>
      <c r="AN45" s="181" t="s">
        <v>2</v>
      </c>
      <c r="AT45" s="2"/>
      <c r="AU45" s="2"/>
      <c r="AV45" s="2"/>
      <c r="AW45" s="2"/>
      <c r="AX45" s="2"/>
      <c r="AY45" s="2"/>
      <c r="AZ45" s="2"/>
    </row>
    <row r="46" spans="6:52" ht="13.5" customHeight="1">
      <c r="F46" s="522"/>
      <c r="G46" s="414" t="s">
        <v>3</v>
      </c>
      <c r="H46" s="465">
        <v>-13230.694613153975</v>
      </c>
      <c r="I46" s="60">
        <v>165.13694312104215</v>
      </c>
      <c r="J46" s="61">
        <v>162.65527578904312</v>
      </c>
      <c r="K46" s="61">
        <v>320.53694113932676</v>
      </c>
      <c r="L46" s="256" t="s">
        <v>3</v>
      </c>
      <c r="M46" s="2"/>
      <c r="N46" s="2"/>
      <c r="O46" s="2"/>
      <c r="P46" s="2"/>
      <c r="Y46" s="2"/>
      <c r="Z46" s="2"/>
      <c r="AA46" s="2"/>
      <c r="AD46" s="70">
        <f>AD38/AD22</f>
        <v>1.000006760519464</v>
      </c>
      <c r="AE46" s="10" t="s">
        <v>3</v>
      </c>
      <c r="AF46" s="71">
        <f t="shared" si="7"/>
        <v>1.9247797633842194</v>
      </c>
      <c r="AG46" s="87">
        <f t="shared" si="7"/>
        <v>838.4188833814192</v>
      </c>
      <c r="AH46" s="88">
        <f t="shared" si="7"/>
        <v>101.89194322601648</v>
      </c>
      <c r="AI46" s="88">
        <f>AI38/AI22</f>
        <v>18.98352397400847</v>
      </c>
      <c r="AJ46" s="256" t="s">
        <v>3</v>
      </c>
      <c r="AK46" s="299">
        <f>AG51</f>
        <v>838.3121200072112</v>
      </c>
      <c r="AM46" s="493">
        <f>(AK46*AK8*AK58)^X8</f>
        <v>581729.1105292556</v>
      </c>
      <c r="AN46" s="494" t="s">
        <v>3</v>
      </c>
      <c r="AU46" s="2"/>
      <c r="AV46" s="2"/>
      <c r="AW46" s="2"/>
      <c r="AX46" s="2"/>
      <c r="AY46" s="2"/>
      <c r="AZ46" s="2"/>
    </row>
    <row r="47" spans="6:52" ht="13.5" customHeight="1" thickBot="1">
      <c r="F47" s="522"/>
      <c r="G47" s="414" t="s">
        <v>4</v>
      </c>
      <c r="H47" s="466">
        <v>-11905.132423150008</v>
      </c>
      <c r="I47" s="224">
        <v>97.37972611005253</v>
      </c>
      <c r="J47" s="225">
        <v>257.438041503103</v>
      </c>
      <c r="K47" s="226">
        <v>316.0753356406878</v>
      </c>
      <c r="L47" s="256" t="s">
        <v>4</v>
      </c>
      <c r="M47" s="2"/>
      <c r="N47" s="2"/>
      <c r="O47" s="2"/>
      <c r="P47" s="2"/>
      <c r="Q47" s="531">
        <f>-Q85</f>
        <v>-3.3195405958090305</v>
      </c>
      <c r="R47" s="67" t="s">
        <v>206</v>
      </c>
      <c r="S47" s="406">
        <f>-S85</f>
        <v>-102654.14437099297</v>
      </c>
      <c r="T47" s="345">
        <f>X22</f>
        <v>100.23971709604768</v>
      </c>
      <c r="U47" s="345">
        <f>X23</f>
        <v>741.4927917698669</v>
      </c>
      <c r="V47" s="366">
        <f>AI7</f>
        <v>8766</v>
      </c>
      <c r="W47" s="2"/>
      <c r="X47" s="476" t="s">
        <v>205</v>
      </c>
      <c r="Y47" s="2"/>
      <c r="Z47" s="2"/>
      <c r="AA47" s="2"/>
      <c r="AB47" s="2"/>
      <c r="AC47" s="435" t="s">
        <v>151</v>
      </c>
      <c r="AD47" s="70">
        <f>AD39/AD23</f>
        <v>0.9999934568678862</v>
      </c>
      <c r="AE47" s="10" t="s">
        <v>4</v>
      </c>
      <c r="AF47" s="257">
        <f t="shared" si="7"/>
        <v>1.9247568171765683</v>
      </c>
      <c r="AG47" s="289">
        <f t="shared" si="7"/>
        <v>838.3790560229685</v>
      </c>
      <c r="AH47" s="290">
        <f t="shared" si="7"/>
        <v>101.89290152738029</v>
      </c>
      <c r="AI47" s="291">
        <f>AI39/AI23</f>
        <v>18.983334650341266</v>
      </c>
      <c r="AJ47" s="256" t="s">
        <v>4</v>
      </c>
      <c r="AK47" s="299">
        <f>AH51</f>
        <v>101.88750215506886</v>
      </c>
      <c r="AM47" s="493">
        <f>(AK47*AK9*AK59)^X9</f>
        <v>504467.3236410078</v>
      </c>
      <c r="AN47" s="494" t="s">
        <v>4</v>
      </c>
      <c r="AU47" s="2"/>
      <c r="AV47" s="2"/>
      <c r="AW47" s="2"/>
      <c r="AX47" s="2"/>
      <c r="AY47" s="2"/>
      <c r="AZ47" s="2"/>
    </row>
    <row r="48" spans="6:52" ht="13.5" customHeight="1" thickBot="1">
      <c r="F48" s="523">
        <v>-40298.42964374832</v>
      </c>
      <c r="G48" s="414" t="s">
        <v>0</v>
      </c>
      <c r="H48" s="467">
        <v>-9080.790610475504</v>
      </c>
      <c r="I48" s="227">
        <v>66.32635577081237</v>
      </c>
      <c r="J48" s="228">
        <v>350.834993188999</v>
      </c>
      <c r="K48" s="229">
        <v>2253.944588889083</v>
      </c>
      <c r="L48" s="256" t="s">
        <v>0</v>
      </c>
      <c r="M48" s="2"/>
      <c r="N48" s="2"/>
      <c r="O48" s="2"/>
      <c r="P48" s="2"/>
      <c r="Q48" s="2"/>
      <c r="R48" s="2"/>
      <c r="S48" s="10">
        <v>0</v>
      </c>
      <c r="T48" s="10">
        <v>1</v>
      </c>
      <c r="U48" s="10">
        <v>2</v>
      </c>
      <c r="V48" s="10" t="s">
        <v>0</v>
      </c>
      <c r="W48" s="2"/>
      <c r="X48" s="2"/>
      <c r="AA48" s="2"/>
      <c r="AB48" s="2"/>
      <c r="AC48" s="435" t="s">
        <v>174</v>
      </c>
      <c r="AD48" s="261">
        <f>AD40/AD24</f>
        <v>0.9999090805079995</v>
      </c>
      <c r="AE48" s="10" t="s">
        <v>0</v>
      </c>
      <c r="AF48" s="199">
        <f t="shared" si="7"/>
        <v>1.9232065315120714</v>
      </c>
      <c r="AG48" s="292">
        <f t="shared" si="7"/>
        <v>837.5878690136741</v>
      </c>
      <c r="AH48" s="293">
        <f t="shared" si="7"/>
        <v>101.81972759445388</v>
      </c>
      <c r="AI48" s="324">
        <f>AI40/AI24</f>
        <v>18.944106241303864</v>
      </c>
      <c r="AJ48" s="256" t="s">
        <v>0</v>
      </c>
      <c r="AK48" s="300">
        <f>-AI51</f>
        <v>-18.982743677369765</v>
      </c>
      <c r="AM48" s="493">
        <f>(AK48*AK10*AK60)^X10</f>
        <v>65455.67311167505</v>
      </c>
      <c r="AN48" s="181" t="s">
        <v>0</v>
      </c>
      <c r="AU48" s="2"/>
      <c r="AV48" s="2"/>
      <c r="AW48" s="2"/>
      <c r="AX48" s="2"/>
      <c r="AY48" s="2"/>
      <c r="AZ48" s="2"/>
    </row>
    <row r="49" spans="4:52" ht="13.5" customHeight="1">
      <c r="D49" s="2"/>
      <c r="E49" s="2"/>
      <c r="F49" s="2"/>
      <c r="I49" s="2"/>
      <c r="J49" s="2"/>
      <c r="K49" s="2"/>
      <c r="L49" s="2"/>
      <c r="M49" s="2"/>
      <c r="N49" s="2"/>
      <c r="O49" s="2"/>
      <c r="P49" s="2"/>
      <c r="AA49" s="2"/>
      <c r="AB49" s="2"/>
      <c r="AC49" s="2"/>
      <c r="AT49" s="2"/>
      <c r="AU49" s="2"/>
      <c r="AV49" s="2"/>
      <c r="AW49" s="2"/>
      <c r="AY49" s="2"/>
      <c r="AZ49" s="2"/>
    </row>
    <row r="50" spans="6:52" ht="13.5" customHeight="1">
      <c r="F50" s="480" t="s">
        <v>208</v>
      </c>
      <c r="I50" s="2"/>
      <c r="L50" s="2"/>
      <c r="M50" s="2"/>
      <c r="N50" s="2"/>
      <c r="O50" s="497" t="s">
        <v>73</v>
      </c>
      <c r="P50" s="498"/>
      <c r="Q50" s="495">
        <f>AD50/AF50</f>
        <v>0.5</v>
      </c>
      <c r="S50" s="495">
        <f>GPE!E18/GPE!$E18</f>
        <v>1</v>
      </c>
      <c r="T50" s="496">
        <f>GPE!F18/GPE!$E18</f>
        <v>441.93345888261155</v>
      </c>
      <c r="U50" s="496">
        <f>GPE!G18/GPE!$E18</f>
        <v>53.86064030131828</v>
      </c>
      <c r="V50" s="496">
        <f>GPE!H18/GPE!$E18</f>
        <v>10</v>
      </c>
      <c r="W50" s="2"/>
      <c r="X50" s="2"/>
      <c r="AA50" s="2"/>
      <c r="AB50" s="2"/>
      <c r="AC50" s="2"/>
      <c r="AD50" s="495">
        <v>1</v>
      </c>
      <c r="AE50" s="2"/>
      <c r="AF50" s="495">
        <f>GPE!E18</f>
        <v>2</v>
      </c>
      <c r="AG50" s="496">
        <f>GPE!F18</f>
        <v>883.8669177652231</v>
      </c>
      <c r="AH50" s="496">
        <f>GPE!G18</f>
        <v>107.72128060263655</v>
      </c>
      <c r="AI50" s="496">
        <f>GPE!H18</f>
        <v>20</v>
      </c>
      <c r="AY50" s="2"/>
      <c r="AZ50" s="2"/>
    </row>
    <row r="51" spans="4:52" ht="13.5" customHeight="1" thickBot="1">
      <c r="D51" s="481" t="s">
        <v>212</v>
      </c>
      <c r="F51" s="29">
        <v>4.658004167889372</v>
      </c>
      <c r="I51" s="2"/>
      <c r="K51" s="369">
        <v>-10213.029777057085</v>
      </c>
      <c r="N51" s="2"/>
      <c r="O51" s="498"/>
      <c r="P51" s="435" t="s">
        <v>221</v>
      </c>
      <c r="Q51" s="501">
        <f>Q57/(AD37-Q21)</f>
        <v>0.5195729175866788</v>
      </c>
      <c r="R51" s="42" t="s">
        <v>124</v>
      </c>
      <c r="S51" s="80">
        <f>'Econ 0'!C22</f>
        <v>1.0000148355280336</v>
      </c>
      <c r="T51" s="47">
        <f>'Econ 0'!D22</f>
        <v>435.5639366015937</v>
      </c>
      <c r="U51" s="47">
        <f>'Econ 0'!E22</f>
        <v>52.937945748396686</v>
      </c>
      <c r="V51" s="385">
        <f>'Econ 0'!F22</f>
        <v>9.862911875284667</v>
      </c>
      <c r="W51" s="2"/>
      <c r="X51" s="327" t="s">
        <v>186</v>
      </c>
      <c r="Y51" s="2"/>
      <c r="Z51" s="2"/>
      <c r="AA51" s="2"/>
      <c r="AB51" s="2"/>
      <c r="AC51" s="435" t="s">
        <v>184</v>
      </c>
      <c r="AD51" s="48">
        <f>P0_2*Chi_2</f>
        <v>1.0000007747170936</v>
      </c>
      <c r="AE51" s="100" t="s">
        <v>88</v>
      </c>
      <c r="AF51" s="80">
        <f>AF35/(S55+S19)</f>
        <v>1.924659159222375</v>
      </c>
      <c r="AG51" s="47">
        <f>P0_2*T51</f>
        <v>838.3121200072112</v>
      </c>
      <c r="AH51" s="47">
        <f>P0_2*U51</f>
        <v>101.88750215506886</v>
      </c>
      <c r="AI51" s="385">
        <f>P0_2*V51</f>
        <v>18.982743677369765</v>
      </c>
      <c r="AY51" s="2"/>
      <c r="AZ51" s="2"/>
    </row>
    <row r="52" spans="9:52" ht="13.5" customHeight="1">
      <c r="I52" s="100" t="s">
        <v>237</v>
      </c>
      <c r="N52" s="2"/>
      <c r="O52" s="499" t="s">
        <v>220</v>
      </c>
      <c r="P52" s="498"/>
      <c r="Q52" s="500" t="s">
        <v>270</v>
      </c>
      <c r="R52" s="2"/>
      <c r="S52" s="10">
        <v>0</v>
      </c>
      <c r="T52" s="10">
        <v>1</v>
      </c>
      <c r="U52" s="10">
        <v>2</v>
      </c>
      <c r="V52" s="10" t="s">
        <v>0</v>
      </c>
      <c r="W52" s="2"/>
      <c r="X52" s="442" t="s">
        <v>100</v>
      </c>
      <c r="Y52" s="2"/>
      <c r="Z52" s="2"/>
      <c r="AA52" s="2"/>
      <c r="AB52" s="436" t="s">
        <v>272</v>
      </c>
      <c r="AC52" s="2"/>
      <c r="AD52" s="550" t="s">
        <v>134</v>
      </c>
      <c r="AE52" s="2"/>
      <c r="AF52" s="10">
        <v>0</v>
      </c>
      <c r="AG52" s="10">
        <v>1</v>
      </c>
      <c r="AH52" s="10">
        <v>2</v>
      </c>
      <c r="AI52" s="10" t="s">
        <v>0</v>
      </c>
      <c r="AY52" s="2"/>
      <c r="AZ52" s="2"/>
    </row>
    <row r="53" spans="9:52" ht="13.5" customHeight="1">
      <c r="I53" s="506" t="s">
        <v>224</v>
      </c>
      <c r="N53" s="2"/>
      <c r="W53" s="2"/>
      <c r="X53" s="2"/>
      <c r="Y53" s="2"/>
      <c r="Z53" s="2"/>
      <c r="AA53" s="2"/>
      <c r="AB53" s="2"/>
      <c r="AC53" s="2"/>
      <c r="AE53" s="2"/>
      <c r="AY53" s="2"/>
      <c r="AZ53" s="2"/>
    </row>
    <row r="54" spans="4:52" ht="13.5" customHeight="1">
      <c r="D54" s="421" t="s">
        <v>265</v>
      </c>
      <c r="AY54" s="2"/>
      <c r="AZ54" s="2"/>
    </row>
    <row r="55" spans="1:52" ht="13.5" customHeight="1" thickBot="1">
      <c r="A55" s="233"/>
      <c r="D55" s="570" t="s">
        <v>264</v>
      </c>
      <c r="F55" s="29">
        <f>H55/H58-V0_2</f>
        <v>0.09953505377291161</v>
      </c>
      <c r="H55" s="8">
        <f>-SUM(I55:K55)</f>
        <v>-82913.91096572502</v>
      </c>
      <c r="I55" s="6">
        <f>T51*T47</f>
        <v>43660.8057821846</v>
      </c>
      <c r="J55" s="6">
        <f>U51*U47</f>
        <v>39253.105183540414</v>
      </c>
      <c r="K55" s="312"/>
      <c r="R55" s="2"/>
      <c r="S55" s="8">
        <f>-SUM(T55:V55)</f>
        <v>2291421.2895270204</v>
      </c>
      <c r="T55" s="6">
        <f>T$51*AG5</f>
        <v>-901272.8146786547</v>
      </c>
      <c r="U55" s="6">
        <f>U$51*AH5</f>
        <v>-858914.8111873047</v>
      </c>
      <c r="V55" s="312">
        <f>V$51*AI5</f>
        <v>-531233.6636610613</v>
      </c>
      <c r="W55" s="2"/>
      <c r="X55" s="2"/>
      <c r="Y55" s="2"/>
      <c r="Z55" s="2"/>
      <c r="AB55" s="2"/>
      <c r="AC55" s="2"/>
      <c r="AD55" s="2"/>
      <c r="AE55" s="2"/>
      <c r="AF55" s="533">
        <f>-SUM(AG55:AI55)</f>
        <v>4410204.972525327</v>
      </c>
      <c r="AG55" s="534">
        <f>AG$51*AG5</f>
        <v>-1734642.977729403</v>
      </c>
      <c r="AH55" s="534">
        <f>AH$51*AH5</f>
        <v>-1653118.2583434028</v>
      </c>
      <c r="AI55" s="556">
        <f>AI$51*AI5</f>
        <v>-1022443.7364525204</v>
      </c>
      <c r="AK55" s="398" t="s">
        <v>207</v>
      </c>
      <c r="AY55" s="2"/>
      <c r="AZ55" s="2"/>
    </row>
    <row r="56" spans="1:52" ht="13.5" customHeight="1">
      <c r="A56" s="233"/>
      <c r="Q56" s="266" t="s">
        <v>8</v>
      </c>
      <c r="R56" s="266" t="s">
        <v>101</v>
      </c>
      <c r="S56" s="10" t="s">
        <v>2</v>
      </c>
      <c r="T56" s="10" t="s">
        <v>3</v>
      </c>
      <c r="U56" s="10" t="s">
        <v>4</v>
      </c>
      <c r="V56" s="10" t="s">
        <v>0</v>
      </c>
      <c r="W56" s="2"/>
      <c r="X56" s="2"/>
      <c r="Y56" s="2"/>
      <c r="Z56" s="2"/>
      <c r="AA56" s="2"/>
      <c r="AB56" s="2"/>
      <c r="AC56" s="2"/>
      <c r="AD56" s="549" t="s">
        <v>1</v>
      </c>
      <c r="AE56" s="554" t="s">
        <v>144</v>
      </c>
      <c r="AF56" s="256" t="s">
        <v>2</v>
      </c>
      <c r="AG56" s="256" t="s">
        <v>3</v>
      </c>
      <c r="AH56" s="256">
        <v>2</v>
      </c>
      <c r="AI56" s="256" t="s">
        <v>0</v>
      </c>
      <c r="AJ56" s="2"/>
      <c r="AK56" s="399" t="s">
        <v>144</v>
      </c>
      <c r="AY56" s="2"/>
      <c r="AZ56" s="2"/>
    </row>
    <row r="57" spans="4:52" ht="13.5" customHeight="1">
      <c r="D57" s="383" t="s">
        <v>163</v>
      </c>
      <c r="E57" s="2"/>
      <c r="F57" s="495">
        <f>IState!C9</f>
        <v>0.5131581182307065</v>
      </c>
      <c r="H57" s="317" t="s">
        <v>70</v>
      </c>
      <c r="Q57" s="17">
        <f>-SUM(Q58:Q60)</f>
        <v>-2291421.2895270204</v>
      </c>
      <c r="R57" s="10" t="s">
        <v>2</v>
      </c>
      <c r="S57" s="241">
        <f>-S55-SUM(S58:S60)</f>
        <v>-633092.0894167647</v>
      </c>
      <c r="T57" s="56">
        <f aca="true" t="shared" si="8" ref="T57:V60">T$51*AG7</f>
        <v>345961.62542401947</v>
      </c>
      <c r="U57" s="57">
        <f t="shared" si="8"/>
        <v>301402.39116477215</v>
      </c>
      <c r="V57" s="57">
        <f t="shared" si="8"/>
        <v>86458.28549874539</v>
      </c>
      <c r="W57" s="10" t="s">
        <v>2</v>
      </c>
      <c r="X57" s="2"/>
      <c r="Y57" s="2"/>
      <c r="Z57" s="2"/>
      <c r="AA57" s="2"/>
      <c r="AB57" s="2"/>
      <c r="AC57" s="2"/>
      <c r="AD57" s="514">
        <f>-SUM(AD58:AD60)</f>
        <v>-4410204.972525325</v>
      </c>
      <c r="AE57" s="10" t="s">
        <v>2</v>
      </c>
      <c r="AF57" s="514">
        <f>-AF55-SUM(AF58:AF60)</f>
        <v>-1218486.488527208</v>
      </c>
      <c r="AG57" s="536">
        <f aca="true" t="shared" si="9" ref="AG57:AI60">AG$51*AG7</f>
        <v>665858.2111117996</v>
      </c>
      <c r="AH57" s="537">
        <f t="shared" si="9"/>
        <v>580096.8727668037</v>
      </c>
      <c r="AI57" s="537">
        <f t="shared" si="9"/>
        <v>166402.73107582337</v>
      </c>
      <c r="AJ57" s="10" t="s">
        <v>2</v>
      </c>
      <c r="AK57" s="68"/>
      <c r="AY57" s="2"/>
      <c r="AZ57" s="2"/>
    </row>
    <row r="58" spans="4:52" ht="13.5" customHeight="1" thickBot="1">
      <c r="D58" s="574" t="s">
        <v>217</v>
      </c>
      <c r="E58" s="2"/>
      <c r="F58" s="575">
        <f>(V0_2-Nu_2/V0_2)^(-Term2)</f>
        <v>0.6427586591666388</v>
      </c>
      <c r="H58" s="17">
        <f>-SUM(H59:H61)</f>
        <v>-75408.15609399328</v>
      </c>
      <c r="Q58" s="75">
        <f>T57-S58</f>
        <v>1212977.4921914083</v>
      </c>
      <c r="R58" s="10" t="s">
        <v>3</v>
      </c>
      <c r="S58" s="193">
        <f>-SUM(T58:V58)</f>
        <v>-867015.8667673889</v>
      </c>
      <c r="T58" s="194">
        <f t="shared" si="8"/>
        <v>280627.03493378044</v>
      </c>
      <c r="U58" s="195">
        <f t="shared" si="8"/>
        <v>293630.4927458409</v>
      </c>
      <c r="V58" s="195">
        <f t="shared" si="8"/>
        <v>292758.3390877675</v>
      </c>
      <c r="W58" s="256" t="s">
        <v>3</v>
      </c>
      <c r="X58" s="443" t="s">
        <v>179</v>
      </c>
      <c r="Y58" s="2"/>
      <c r="Z58" s="2"/>
      <c r="AA58" s="2"/>
      <c r="AB58" s="2"/>
      <c r="AC58" s="439" t="s">
        <v>172</v>
      </c>
      <c r="AD58" s="519">
        <f>AG57-AF58</f>
        <v>2334568.240276781</v>
      </c>
      <c r="AE58" s="256" t="s">
        <v>3</v>
      </c>
      <c r="AF58" s="538">
        <f>-SUM(AG58:AI58)</f>
        <v>-1668710.0291649816</v>
      </c>
      <c r="AG58" s="539">
        <f t="shared" si="9"/>
        <v>540111.3931107179</v>
      </c>
      <c r="AH58" s="540">
        <f t="shared" si="9"/>
        <v>565138.6172902619</v>
      </c>
      <c r="AI58" s="540">
        <f>AI$51*AI8</f>
        <v>563460.0187640017</v>
      </c>
      <c r="AJ58" s="10" t="s">
        <v>3</v>
      </c>
      <c r="AK58" s="395">
        <f>AG58*AH58*AI58</f>
        <v>1.7198929983161843E+17</v>
      </c>
      <c r="AP58" s="2"/>
      <c r="AY58" s="2"/>
      <c r="AZ58" s="2"/>
    </row>
    <row r="59" spans="4:52" ht="13.5" customHeight="1">
      <c r="D59" s="2"/>
      <c r="E59" s="2"/>
      <c r="F59" s="2"/>
      <c r="H59" s="75">
        <f>-H22</f>
        <v>39692.41819127977</v>
      </c>
      <c r="O59" s="2"/>
      <c r="Q59" s="75">
        <f>U57-S59</f>
        <v>1051969.875641565</v>
      </c>
      <c r="R59" s="10" t="s">
        <v>4</v>
      </c>
      <c r="S59" s="196">
        <f>-SUM(T59:V59)</f>
        <v>-750567.484476793</v>
      </c>
      <c r="T59" s="197">
        <f t="shared" si="8"/>
        <v>249355.78731509685</v>
      </c>
      <c r="U59" s="101">
        <f t="shared" si="8"/>
        <v>248464.4454163755</v>
      </c>
      <c r="V59" s="198">
        <f t="shared" si="8"/>
        <v>252747.25174532065</v>
      </c>
      <c r="W59" s="256" t="s">
        <v>4</v>
      </c>
      <c r="X59" s="444" t="s">
        <v>187</v>
      </c>
      <c r="Y59" s="2"/>
      <c r="Z59" s="2"/>
      <c r="AA59" s="2"/>
      <c r="AB59" s="2"/>
      <c r="AC59" s="435" t="s">
        <v>159</v>
      </c>
      <c r="AD59" s="519">
        <f>AH57-AF59</f>
        <v>2024683.456379561</v>
      </c>
      <c r="AE59" s="256" t="s">
        <v>4</v>
      </c>
      <c r="AF59" s="541">
        <f>-SUM(AG59:AI59)</f>
        <v>-1444586.5836127573</v>
      </c>
      <c r="AG59" s="542">
        <f>AG$51*AG9</f>
        <v>479924.8999611077</v>
      </c>
      <c r="AH59" s="543">
        <f t="shared" si="9"/>
        <v>478209.3706117349</v>
      </c>
      <c r="AI59" s="547">
        <f t="shared" si="9"/>
        <v>486452.3130399148</v>
      </c>
      <c r="AJ59" s="10" t="s">
        <v>4</v>
      </c>
      <c r="AK59" s="395">
        <f>AG59*AH59*AI59</f>
        <v>1.1164303591095469E+17</v>
      </c>
      <c r="AY59" s="2"/>
      <c r="AZ59" s="2"/>
    </row>
    <row r="60" spans="4:52" ht="13.5" customHeight="1" thickBot="1">
      <c r="D60" s="361" t="s">
        <v>194</v>
      </c>
      <c r="E60" s="2"/>
      <c r="F60" s="576" t="s">
        <v>142</v>
      </c>
      <c r="H60" s="75">
        <f>-H23</f>
        <v>35715.73790271351</v>
      </c>
      <c r="O60" s="2"/>
      <c r="Q60" s="270">
        <f>V57+V60-S60</f>
        <v>26473.921694046963</v>
      </c>
      <c r="R60" s="10" t="s">
        <v>0</v>
      </c>
      <c r="S60" s="298">
        <f>-SUM(T60:U60)</f>
        <v>-40745.84886607381</v>
      </c>
      <c r="T60" s="37">
        <f t="shared" si="8"/>
        <v>25328.367005757726</v>
      </c>
      <c r="U60" s="38">
        <f t="shared" si="8"/>
        <v>15417.481860316084</v>
      </c>
      <c r="V60" s="39">
        <f t="shared" si="8"/>
        <v>-100730.21267077223</v>
      </c>
      <c r="W60" s="10" t="s">
        <v>0</v>
      </c>
      <c r="X60" s="443" t="s">
        <v>180</v>
      </c>
      <c r="Y60" s="2"/>
      <c r="Z60" s="2"/>
      <c r="AA60" s="2"/>
      <c r="AB60" s="2"/>
      <c r="AC60" s="439" t="s">
        <v>173</v>
      </c>
      <c r="AD60" s="513">
        <f>AI57+AI60-AF60</f>
        <v>50953.275868983415</v>
      </c>
      <c r="AE60" s="256" t="s">
        <v>0</v>
      </c>
      <c r="AF60" s="544">
        <f>-SUM(AG60:AH60)</f>
        <v>-78421.87122037957</v>
      </c>
      <c r="AG60" s="545">
        <f t="shared" si="9"/>
        <v>48748.47354577741</v>
      </c>
      <c r="AH60" s="546">
        <f>AH$51*AH10</f>
        <v>29673.39767460217</v>
      </c>
      <c r="AI60" s="555">
        <f>AI$51*AI10</f>
        <v>-193871.32642721952</v>
      </c>
      <c r="AJ60" s="10" t="s">
        <v>0</v>
      </c>
      <c r="AK60" s="396">
        <f>AG60*AH60</f>
        <v>1446532841.5536766</v>
      </c>
      <c r="AY60" s="2"/>
      <c r="AZ60" s="2"/>
    </row>
    <row r="61" spans="4:52" ht="13.5" customHeight="1" thickBot="1">
      <c r="D61" s="360" t="s">
        <v>263</v>
      </c>
      <c r="E61" s="2"/>
      <c r="F61" s="413">
        <f>1/(1+Nu_2*Term2*Kappa2/Gamma2)</f>
        <v>0.6427598995915256</v>
      </c>
      <c r="H61" s="236"/>
      <c r="O61" s="2"/>
      <c r="R61" s="2"/>
      <c r="T61" s="325"/>
      <c r="U61" s="325"/>
      <c r="V61" s="325"/>
      <c r="Y61" s="2"/>
      <c r="Z61" s="2"/>
      <c r="AA61" s="2"/>
      <c r="AB61" s="2"/>
      <c r="AC61" s="2"/>
      <c r="AF61" s="552" t="s">
        <v>207</v>
      </c>
      <c r="AM61" s="394"/>
      <c r="AN61" s="2"/>
      <c r="AO61" s="2"/>
      <c r="AY61" s="2"/>
      <c r="AZ61" s="2"/>
    </row>
    <row r="62" spans="15:52" ht="13.5" customHeight="1">
      <c r="O62" s="2"/>
      <c r="AF62" s="553" t="s">
        <v>251</v>
      </c>
      <c r="AY62" s="2"/>
      <c r="AZ62" s="2"/>
    </row>
    <row r="63" spans="15:52" ht="13.5" customHeight="1">
      <c r="O63" s="2"/>
      <c r="AB63" s="2"/>
      <c r="AC63" s="2"/>
      <c r="AY63" s="2"/>
      <c r="AZ63" s="2"/>
    </row>
    <row r="64" spans="4:52" ht="13.5" customHeight="1" thickBot="1">
      <c r="D64" s="413">
        <f>LN(1-Nu_2)*(1-Nu_2)^Term2+Nu_2*Kappa2/Gamma2</f>
        <v>0.26694479267794147</v>
      </c>
      <c r="F64" s="413">
        <f>Term2-(1/F58-1/F61)/D64</f>
        <v>4.657992920485057</v>
      </c>
      <c r="Q64" s="2"/>
      <c r="R64" s="2"/>
      <c r="S64" s="406">
        <f>AF64/AF$51-S55</f>
        <v>18.93180266674608</v>
      </c>
      <c r="T64" s="6">
        <f>AG64/AG$51-AG5</f>
        <v>1.5051194991647208</v>
      </c>
      <c r="U64" s="6">
        <f>AH64/AH$51-AH5</f>
        <v>-29.455747918678753</v>
      </c>
      <c r="V64" s="312">
        <f>AI64/AI$51-AI5</f>
        <v>89.7117625816245</v>
      </c>
      <c r="W64" s="2"/>
      <c r="X64" s="2"/>
      <c r="Y64" s="2"/>
      <c r="Z64" s="2"/>
      <c r="AE64" s="410"/>
      <c r="AF64" s="533">
        <f>-SUM(AG64:AI64)</f>
        <v>4410241.409792729</v>
      </c>
      <c r="AG64" s="534">
        <f>-SUM(AG66:AG69)</f>
        <v>-1733381.217811194</v>
      </c>
      <c r="AH64" s="534">
        <f>-SUM(AH66:AH69)</f>
        <v>-1656119.4309229462</v>
      </c>
      <c r="AI64" s="535">
        <f>-SUM(AI66:AI69)</f>
        <v>-1020740.7610585883</v>
      </c>
      <c r="AJ64" s="2"/>
      <c r="AL64" s="411"/>
      <c r="AY64" s="2"/>
      <c r="AZ64" s="2"/>
    </row>
    <row r="65" spans="17:52" ht="13.5" customHeight="1">
      <c r="Q65" s="549" t="s">
        <v>268</v>
      </c>
      <c r="R65" s="100" t="s">
        <v>16</v>
      </c>
      <c r="S65" s="10" t="s">
        <v>2</v>
      </c>
      <c r="T65" s="10" t="s">
        <v>3</v>
      </c>
      <c r="U65" s="10" t="s">
        <v>4</v>
      </c>
      <c r="V65" s="10" t="s">
        <v>0</v>
      </c>
      <c r="W65" s="2"/>
      <c r="X65" s="2"/>
      <c r="Y65" s="2"/>
      <c r="Z65" s="2"/>
      <c r="AB65" s="2"/>
      <c r="AD65" s="549" t="s">
        <v>28</v>
      </c>
      <c r="AE65" s="554" t="s">
        <v>252</v>
      </c>
      <c r="AF65" s="256" t="s">
        <v>2</v>
      </c>
      <c r="AG65" s="256" t="s">
        <v>3</v>
      </c>
      <c r="AH65" s="256">
        <v>2</v>
      </c>
      <c r="AI65" s="256" t="s">
        <v>0</v>
      </c>
      <c r="AJ65" s="2"/>
      <c r="AL65" s="411"/>
      <c r="AY65" s="2"/>
      <c r="AZ65" s="2"/>
    </row>
    <row r="66" spans="4:52" ht="13.5" customHeight="1">
      <c r="D66" s="443" t="s">
        <v>266</v>
      </c>
      <c r="N66" s="2"/>
      <c r="Q66" s="514">
        <f>AD66/AD$51-AD57</f>
        <v>-33.02058064378798</v>
      </c>
      <c r="R66" s="10" t="s">
        <v>2</v>
      </c>
      <c r="S66" s="241">
        <f>AF66/AF$51-S57</f>
        <v>102743.24496422242</v>
      </c>
      <c r="T66" s="56">
        <f aca="true" t="shared" si="10" ref="T66:V69">AG66/AG$51-AG7</f>
        <v>-100.35534328409835</v>
      </c>
      <c r="U66" s="57">
        <f t="shared" si="10"/>
        <v>-742.2848487412193</v>
      </c>
      <c r="V66" s="57">
        <f t="shared" si="10"/>
        <v>-8766</v>
      </c>
      <c r="W66" s="10" t="s">
        <v>2</v>
      </c>
      <c r="X66" s="2"/>
      <c r="Y66" s="2"/>
      <c r="Z66" s="2"/>
      <c r="AB66" s="2"/>
      <c r="AD66" s="514">
        <f>-SUM(AD67:AD69)</f>
        <v>-4410241.409792729</v>
      </c>
      <c r="AE66" s="10" t="s">
        <v>2</v>
      </c>
      <c r="AF66" s="514">
        <f>-AF64-SUM(AF67:AF69)</f>
        <v>-1020740.761058588</v>
      </c>
      <c r="AG66" s="536">
        <f>T7*$AK30</f>
        <v>581729.1105292556</v>
      </c>
      <c r="AH66" s="537">
        <f>U7*$AK31</f>
        <v>504467.3236410078</v>
      </c>
      <c r="AI66" s="537">
        <f>V7*$AK32</f>
        <v>0</v>
      </c>
      <c r="AJ66" s="10" t="s">
        <v>2</v>
      </c>
      <c r="AY66" s="2"/>
      <c r="AZ66" s="2"/>
    </row>
    <row r="67" spans="14:52" ht="13.5" customHeight="1">
      <c r="N67" s="2"/>
      <c r="Q67" s="519">
        <f>AD67/AD$51-AD58</f>
        <v>-7653.6008603051305</v>
      </c>
      <c r="R67" s="10" t="s">
        <v>3</v>
      </c>
      <c r="S67" s="393">
        <f>AF67/AF$51-S58</f>
        <v>-39735.50436519098</v>
      </c>
      <c r="T67" s="194">
        <f t="shared" si="10"/>
        <v>49.64465671590153</v>
      </c>
      <c r="U67" s="195">
        <f t="shared" si="10"/>
        <v>162.83148460881512</v>
      </c>
      <c r="V67" s="195">
        <f t="shared" si="10"/>
        <v>962.4052284408899</v>
      </c>
      <c r="W67" s="10" t="s">
        <v>3</v>
      </c>
      <c r="X67" s="328" t="s">
        <v>135</v>
      </c>
      <c r="Y67" s="2"/>
      <c r="Z67" s="2"/>
      <c r="AA67" s="2"/>
      <c r="AB67" s="2"/>
      <c r="AD67" s="519">
        <f>Q8*$AK30</f>
        <v>2326916.4421170224</v>
      </c>
      <c r="AE67" s="256" t="s">
        <v>3</v>
      </c>
      <c r="AF67" s="538">
        <f aca="true" t="shared" si="11" ref="AF67:AI69">S8*$AK30</f>
        <v>-1745187.3315877668</v>
      </c>
      <c r="AG67" s="539">
        <f t="shared" si="11"/>
        <v>581729.1105292556</v>
      </c>
      <c r="AH67" s="540">
        <f t="shared" si="11"/>
        <v>581729.1105292556</v>
      </c>
      <c r="AI67" s="540">
        <f t="shared" si="11"/>
        <v>581729.1105292556</v>
      </c>
      <c r="AJ67" s="10" t="s">
        <v>3</v>
      </c>
      <c r="AK67" s="2"/>
      <c r="AY67" s="2"/>
      <c r="AZ67" s="2"/>
    </row>
    <row r="68" spans="17:52" ht="13.5" customHeight="1">
      <c r="Q68" s="519">
        <f>AD68/AD$51-AD59</f>
        <v>-6815.725092153763</v>
      </c>
      <c r="R68" s="10" t="s">
        <v>4</v>
      </c>
      <c r="S68" s="405">
        <f>AF68/AF$51-S59</f>
        <v>-35754.58385996509</v>
      </c>
      <c r="T68" s="197">
        <f t="shared" si="10"/>
        <v>29.275997679347597</v>
      </c>
      <c r="U68" s="101">
        <f t="shared" si="10"/>
        <v>257.7151512587807</v>
      </c>
      <c r="V68" s="198">
        <f t="shared" si="10"/>
        <v>949.0203791019703</v>
      </c>
      <c r="W68" s="10" t="s">
        <v>4</v>
      </c>
      <c r="X68" s="328" t="s">
        <v>115</v>
      </c>
      <c r="Y68" s="2"/>
      <c r="Z68" s="2"/>
      <c r="AA68" s="2"/>
      <c r="AB68" s="2"/>
      <c r="AD68" s="519">
        <f>Q9*$AK31</f>
        <v>2017869.2945640313</v>
      </c>
      <c r="AE68" s="256" t="s">
        <v>4</v>
      </c>
      <c r="AF68" s="541">
        <f t="shared" si="11"/>
        <v>-1513401.9709230235</v>
      </c>
      <c r="AG68" s="542">
        <f t="shared" si="11"/>
        <v>504467.3236410078</v>
      </c>
      <c r="AH68" s="543">
        <f t="shared" si="11"/>
        <v>504467.3236410078</v>
      </c>
      <c r="AI68" s="547">
        <f t="shared" si="11"/>
        <v>504467.3236410078</v>
      </c>
      <c r="AJ68" s="10" t="s">
        <v>4</v>
      </c>
      <c r="AU68" s="325"/>
      <c r="AV68" s="2"/>
      <c r="AW68" s="2"/>
      <c r="AY68" s="2"/>
      <c r="AZ68" s="2"/>
    </row>
    <row r="69" spans="9:52" ht="13.5" customHeight="1" thickBot="1">
      <c r="I69" s="2"/>
      <c r="J69" s="2"/>
      <c r="K69" s="2"/>
      <c r="L69" s="2"/>
      <c r="Q69" s="513">
        <f>AD69/AD$51-AD60</f>
        <v>14502.346533102093</v>
      </c>
      <c r="R69" s="10" t="s">
        <v>0</v>
      </c>
      <c r="S69" s="298">
        <f>AF69/AF$51-S60</f>
        <v>-27272.088541733276</v>
      </c>
      <c r="T69" s="37">
        <f t="shared" si="10"/>
        <v>19.929569389684985</v>
      </c>
      <c r="U69" s="38">
        <f t="shared" si="10"/>
        <v>351.1939607923025</v>
      </c>
      <c r="V69" s="39">
        <f t="shared" si="10"/>
        <v>6764.862629875517</v>
      </c>
      <c r="W69" s="10" t="s">
        <v>0</v>
      </c>
      <c r="X69" s="328" t="s">
        <v>113</v>
      </c>
      <c r="Y69" s="2"/>
      <c r="Z69" s="2"/>
      <c r="AA69" s="2"/>
      <c r="AB69" s="2"/>
      <c r="AD69" s="513">
        <f>Q10*$AK32</f>
        <v>65455.67311167505</v>
      </c>
      <c r="AE69" s="10" t="s">
        <v>0</v>
      </c>
      <c r="AF69" s="544">
        <f t="shared" si="11"/>
        <v>-130911.3462233501</v>
      </c>
      <c r="AG69" s="545">
        <f t="shared" si="11"/>
        <v>65455.67311167505</v>
      </c>
      <c r="AH69" s="546">
        <f t="shared" si="11"/>
        <v>65455.67311167505</v>
      </c>
      <c r="AI69" s="555">
        <f t="shared" si="11"/>
        <v>-65455.67311167505</v>
      </c>
      <c r="AJ69" s="10" t="s">
        <v>0</v>
      </c>
      <c r="AU69" s="2"/>
      <c r="AV69" s="2"/>
      <c r="AW69" s="2"/>
      <c r="AY69" s="2"/>
      <c r="AZ69" s="2"/>
    </row>
    <row r="70" spans="13:52" ht="13.5" customHeight="1">
      <c r="M70" s="2"/>
      <c r="W70" s="2"/>
      <c r="X70" s="2"/>
      <c r="Y70" s="2"/>
      <c r="Z70" s="2"/>
      <c r="AA70" s="2"/>
      <c r="AB70" s="2"/>
      <c r="AC70" s="2"/>
      <c r="AU70" s="325"/>
      <c r="AV70" s="2"/>
      <c r="AW70" s="2"/>
      <c r="AX70" s="2"/>
      <c r="AY70" s="2"/>
      <c r="AZ70" s="2"/>
    </row>
    <row r="71" spans="17:52" ht="13.5" customHeight="1">
      <c r="Q71" s="394"/>
      <c r="R71" s="2"/>
      <c r="S71" s="2"/>
      <c r="T71" s="2"/>
      <c r="U71" s="2"/>
      <c r="V71" s="2"/>
      <c r="W71" s="2"/>
      <c r="X71" s="2"/>
      <c r="Y71" s="2"/>
      <c r="Z71" s="2"/>
      <c r="AA71" s="2"/>
      <c r="AB71" s="2"/>
      <c r="AC71" s="2"/>
      <c r="AU71" s="325"/>
      <c r="AV71" s="2"/>
      <c r="AW71" s="2"/>
      <c r="AX71" s="2"/>
      <c r="AY71" s="2"/>
      <c r="AZ71" s="2"/>
    </row>
    <row r="72" spans="1:52" ht="13.5" customHeight="1" thickBot="1">
      <c r="A72" s="2"/>
      <c r="F72" s="525">
        <f>3*F45/Term2</f>
        <v>0</v>
      </c>
      <c r="G72" s="10" t="s">
        <v>2</v>
      </c>
      <c r="M72" s="2"/>
      <c r="Q72" s="530">
        <f>SUM(Q67:Q69)</f>
        <v>33.02058064319863</v>
      </c>
      <c r="R72" s="100" t="s">
        <v>55</v>
      </c>
      <c r="S72" s="5">
        <f>SUM(S67:S69)</f>
        <v>-102762.17676688934</v>
      </c>
      <c r="T72" s="6">
        <f>SUM(T67:T69)</f>
        <v>98.85022378493412</v>
      </c>
      <c r="U72" s="6">
        <f>SUM(U67:U69)</f>
        <v>771.7405966598983</v>
      </c>
      <c r="V72" s="243">
        <f>SUM(V67:V68)</f>
        <v>1911.4256075428602</v>
      </c>
      <c r="W72" s="2"/>
      <c r="X72" s="7" t="s">
        <v>112</v>
      </c>
      <c r="Y72" s="2"/>
      <c r="Z72" s="2"/>
      <c r="AA72" s="2"/>
      <c r="AU72" s="325"/>
      <c r="AV72" s="2"/>
      <c r="AW72" s="2"/>
      <c r="AX72" s="2"/>
      <c r="AY72" s="2"/>
      <c r="AZ72" s="2"/>
    </row>
    <row r="73" spans="3:52" ht="13.5" customHeight="1">
      <c r="C73" s="233"/>
      <c r="F73" s="526"/>
      <c r="G73" s="256" t="s">
        <v>3</v>
      </c>
      <c r="H73" s="2"/>
      <c r="M73" s="2"/>
      <c r="S73" s="10">
        <v>0</v>
      </c>
      <c r="T73" s="10">
        <v>1</v>
      </c>
      <c r="U73" s="10">
        <v>2</v>
      </c>
      <c r="V73" s="10" t="s">
        <v>0</v>
      </c>
      <c r="W73" s="2"/>
      <c r="X73" s="2"/>
      <c r="Y73" s="2"/>
      <c r="Z73" s="2"/>
      <c r="AU73" s="2"/>
      <c r="AV73" s="2"/>
      <c r="AW73" s="2"/>
      <c r="AX73" s="2"/>
      <c r="AY73" s="2"/>
      <c r="AZ73" s="2"/>
    </row>
    <row r="74" spans="1:52" ht="13.5" customHeight="1">
      <c r="A74" s="2"/>
      <c r="D74" s="516" t="s">
        <v>96</v>
      </c>
      <c r="F74" s="526"/>
      <c r="G74" s="256" t="s">
        <v>4</v>
      </c>
      <c r="W74" s="2"/>
      <c r="X74" s="2"/>
      <c r="Y74" s="2"/>
      <c r="Z74" s="2"/>
      <c r="AA74" s="2"/>
      <c r="AP74" s="2"/>
      <c r="AQ74" s="2"/>
      <c r="AR74" s="2"/>
      <c r="AS74" s="2"/>
      <c r="AT74" s="2"/>
      <c r="AU74" s="2"/>
      <c r="AV74" s="2"/>
      <c r="AW74" s="2"/>
      <c r="AX74" s="2"/>
      <c r="AY74" s="2"/>
      <c r="AZ74" s="2"/>
    </row>
    <row r="75" spans="1:52" ht="13.5" customHeight="1" thickBot="1">
      <c r="A75" s="2"/>
      <c r="D75" s="515" t="s">
        <v>254</v>
      </c>
      <c r="F75" s="512">
        <f>3*F48/Term2</f>
        <v>-25954.31102545038</v>
      </c>
      <c r="G75" s="256" t="s">
        <v>0</v>
      </c>
      <c r="L75" s="2"/>
      <c r="M75" s="2"/>
      <c r="Q75" s="531">
        <f>Q47+Q15</f>
        <v>-3.3195405958090305</v>
      </c>
      <c r="R75" s="100" t="s">
        <v>54</v>
      </c>
      <c r="S75" s="5">
        <f>S47+S15-S83</f>
        <v>-102652.4196289367</v>
      </c>
      <c r="T75" s="6">
        <f>T47+T15-T83</f>
        <v>98.77161632669099</v>
      </c>
      <c r="U75" s="6">
        <f>U47+U15-U83</f>
        <v>771.0943543778344</v>
      </c>
      <c r="V75" s="243">
        <f>V47+X24+V15-V83</f>
        <v>1909.8404750686218</v>
      </c>
      <c r="W75" s="2"/>
      <c r="X75" s="7" t="s">
        <v>89</v>
      </c>
      <c r="Y75" s="2"/>
      <c r="Z75" s="2"/>
      <c r="AA75" s="2"/>
      <c r="AB75" s="2"/>
      <c r="AC75" s="2"/>
      <c r="AF75" s="533">
        <f>-SUM(AG75:AI75)</f>
        <v>0</v>
      </c>
      <c r="AG75" s="78"/>
      <c r="AH75" s="78"/>
      <c r="AI75" s="311"/>
      <c r="AK75" s="2"/>
      <c r="AP75" s="2"/>
      <c r="AQ75" s="2"/>
      <c r="AR75" s="2"/>
      <c r="AS75" s="2"/>
      <c r="AT75" s="2"/>
      <c r="AU75" s="2"/>
      <c r="AV75" s="2"/>
      <c r="AW75" s="2"/>
      <c r="AX75" s="2"/>
      <c r="AY75" s="2"/>
      <c r="AZ75" s="2"/>
    </row>
    <row r="76" spans="1:52" ht="13.5" customHeight="1">
      <c r="A76" s="2"/>
      <c r="B76" s="2"/>
      <c r="L76" s="2"/>
      <c r="M76" s="2"/>
      <c r="Q76" s="2"/>
      <c r="R76" s="2"/>
      <c r="S76" s="10">
        <v>0</v>
      </c>
      <c r="T76" s="10">
        <v>1</v>
      </c>
      <c r="U76" s="10">
        <v>2</v>
      </c>
      <c r="V76" s="10" t="s">
        <v>0</v>
      </c>
      <c r="W76" s="2"/>
      <c r="X76" s="2"/>
      <c r="AC76" s="2"/>
      <c r="AE76" s="520" t="s">
        <v>140</v>
      </c>
      <c r="AF76" s="10" t="s">
        <v>2</v>
      </c>
      <c r="AG76" s="10">
        <v>1</v>
      </c>
      <c r="AH76" s="10" t="s">
        <v>4</v>
      </c>
      <c r="AI76" s="10" t="s">
        <v>0</v>
      </c>
      <c r="AV76" s="2"/>
      <c r="AW76" s="2"/>
      <c r="AX76" s="2"/>
      <c r="AY76" s="2"/>
      <c r="AZ76" s="2"/>
    </row>
    <row r="77" spans="1:52" ht="13.5" customHeight="1">
      <c r="A77" s="2"/>
      <c r="C77" s="410"/>
      <c r="L77" s="2"/>
      <c r="O77" s="2"/>
      <c r="AC77" s="2"/>
      <c r="AD77" s="514">
        <f>-AF75</f>
        <v>0</v>
      </c>
      <c r="AE77" s="10" t="s">
        <v>2</v>
      </c>
      <c r="AF77" s="514">
        <f>-SUM(AG77:AI77)</f>
        <v>0</v>
      </c>
      <c r="AG77" s="536">
        <v>0</v>
      </c>
      <c r="AH77" s="537">
        <v>0</v>
      </c>
      <c r="AI77" s="537">
        <v>0</v>
      </c>
      <c r="AJ77" s="10" t="s">
        <v>2</v>
      </c>
      <c r="AK77" s="2"/>
      <c r="AL77" s="2"/>
      <c r="AV77" s="2"/>
      <c r="AW77" s="2"/>
      <c r="AX77" s="2"/>
      <c r="AY77" s="2"/>
      <c r="AZ77" s="2"/>
    </row>
    <row r="78" spans="1:52" ht="13.5" customHeight="1">
      <c r="A78" s="2"/>
      <c r="L78" s="2"/>
      <c r="O78" s="2"/>
      <c r="W78" s="2"/>
      <c r="X78" s="7" t="s">
        <v>148</v>
      </c>
      <c r="AC78" s="527" t="s">
        <v>259</v>
      </c>
      <c r="AD78" s="519">
        <f>AG77-AF78</f>
        <v>-2.1207378289025405</v>
      </c>
      <c r="AE78" s="10" t="s">
        <v>3</v>
      </c>
      <c r="AF78" s="538">
        <f>-SUM(AG78:AI78)</f>
        <v>2.1207378289025405</v>
      </c>
      <c r="AG78" s="539">
        <v>0</v>
      </c>
      <c r="AH78" s="540">
        <f>(AD47-AD46)*(V0_2-Nu_2)*(D22+D23)</f>
        <v>-2.1207378289025405</v>
      </c>
      <c r="AI78" s="449"/>
      <c r="AJ78" s="10" t="s">
        <v>3</v>
      </c>
      <c r="AK78" s="2"/>
      <c r="AL78" s="2"/>
      <c r="AV78" s="2"/>
      <c r="AW78" s="2"/>
      <c r="AX78" s="2"/>
      <c r="AY78" s="2"/>
      <c r="AZ78" s="2"/>
    </row>
    <row r="79" spans="12:52" ht="13.5" customHeight="1" thickBot="1">
      <c r="L79" s="2"/>
      <c r="O79" s="2"/>
      <c r="R79" s="100" t="s">
        <v>138</v>
      </c>
      <c r="S79" s="563">
        <f>'Econ 0'!L10/'Econ 0'!L15</f>
        <v>0.9989319305856903</v>
      </c>
      <c r="T79" s="367">
        <f>IF(T72&gt;T75,T75/T72,1)</f>
        <v>0.9992047821923585</v>
      </c>
      <c r="U79" s="367">
        <f>IF(U72&gt;U75,U75/U72,1)</f>
        <v>0.9991626172254501</v>
      </c>
      <c r="V79" s="368">
        <f>IF(V72&gt;V75,V75/V72,1)</f>
        <v>0.9991707066872061</v>
      </c>
      <c r="W79" s="2"/>
      <c r="X79" s="7" t="s">
        <v>153</v>
      </c>
      <c r="AC79" s="527" t="s">
        <v>260</v>
      </c>
      <c r="AD79" s="519">
        <f>AH77-AF79</f>
        <v>2.1207378289025405</v>
      </c>
      <c r="AE79" s="10" t="s">
        <v>4</v>
      </c>
      <c r="AF79" s="541">
        <f>-SUM(AG79:AI79)</f>
        <v>-2.1207378289025405</v>
      </c>
      <c r="AG79" s="542">
        <f>-AH78</f>
        <v>2.1207378289025405</v>
      </c>
      <c r="AH79" s="543">
        <v>0</v>
      </c>
      <c r="AI79" s="450"/>
      <c r="AJ79" s="10" t="s">
        <v>4</v>
      </c>
      <c r="AV79" s="2"/>
      <c r="AW79" s="2"/>
      <c r="AX79" s="2"/>
      <c r="AY79" s="2"/>
      <c r="AZ79" s="2"/>
    </row>
    <row r="80" spans="12:52" ht="13.5" customHeight="1" thickBot="1">
      <c r="L80" s="2"/>
      <c r="O80" s="2"/>
      <c r="S80" s="256" t="s">
        <v>2</v>
      </c>
      <c r="T80" s="256" t="s">
        <v>3</v>
      </c>
      <c r="U80" s="10">
        <v>2</v>
      </c>
      <c r="V80" s="256" t="s">
        <v>0</v>
      </c>
      <c r="W80" s="2"/>
      <c r="X80" s="2"/>
      <c r="AD80" s="513">
        <f>AI77-AF80</f>
        <v>0</v>
      </c>
      <c r="AE80" s="10" t="s">
        <v>0</v>
      </c>
      <c r="AF80" s="544">
        <f>-SUM(AG80:AI80)</f>
        <v>0</v>
      </c>
      <c r="AG80" s="451"/>
      <c r="AH80" s="452"/>
      <c r="AI80" s="453"/>
      <c r="AJ80" s="10" t="s">
        <v>0</v>
      </c>
      <c r="AV80" s="2"/>
      <c r="AW80" s="2"/>
      <c r="AX80" s="2"/>
      <c r="AY80" s="2"/>
      <c r="AZ80" s="2"/>
    </row>
    <row r="81" spans="5:52" ht="13.5" customHeight="1">
      <c r="E81" s="446"/>
      <c r="L81" s="2"/>
      <c r="P81" s="2"/>
      <c r="AL81" s="551" t="s">
        <v>117</v>
      </c>
      <c r="AV81" s="2"/>
      <c r="AW81" s="2"/>
      <c r="AX81" s="2"/>
      <c r="AY81" s="2"/>
      <c r="AZ81" s="2"/>
    </row>
    <row r="82" spans="12:52" ht="13.5" customHeight="1">
      <c r="L82" s="2"/>
      <c r="Q82" s="411"/>
      <c r="R82" s="2"/>
      <c r="T82" s="2"/>
      <c r="U82" s="2"/>
      <c r="V82" s="2"/>
      <c r="W82" s="2"/>
      <c r="X82" s="429" t="s">
        <v>188</v>
      </c>
      <c r="AC82" s="2"/>
      <c r="AD82" s="2"/>
      <c r="AL82" s="551" t="s">
        <v>250</v>
      </c>
      <c r="AV82" s="2"/>
      <c r="AW82" s="2"/>
      <c r="AX82" s="2"/>
      <c r="AY82" s="2"/>
      <c r="AZ82" s="2"/>
    </row>
    <row r="83" spans="5:52" ht="13.5" customHeight="1" thickBot="1">
      <c r="E83" s="2"/>
      <c r="H83" s="468">
        <f>H27+DT*(S83-H$10*H27*3)</f>
        <v>-0.5789239814579131</v>
      </c>
      <c r="I83" s="44">
        <f>I27+DT*(T83-I$10*I27*3)</f>
        <v>4.873154215374638</v>
      </c>
      <c r="J83" s="44">
        <f>J27+DT*(U83-J$10*J27*3)</f>
        <v>-29.6072123627611</v>
      </c>
      <c r="K83" s="387">
        <f>K27+DT*(V83-K$10*K27*3)</f>
        <v>31.418932504500034</v>
      </c>
      <c r="L83" s="2"/>
      <c r="P83" s="2"/>
      <c r="R83" s="2"/>
      <c r="S83" s="507">
        <f>'Econ 0'!L43</f>
        <v>-1.724742056224727</v>
      </c>
      <c r="T83" s="508">
        <f>'Econ 0'!M43</f>
        <v>1.468100769356667</v>
      </c>
      <c r="U83" s="508">
        <f>'Econ 0'!N43</f>
        <v>-29.60156260796748</v>
      </c>
      <c r="V83" s="509">
        <f>'Econ 0'!O43</f>
        <v>94.22358414907103</v>
      </c>
      <c r="W83" s="2"/>
      <c r="X83" s="327" t="s">
        <v>114</v>
      </c>
      <c r="AC83" s="2"/>
      <c r="AD83" s="2"/>
      <c r="AE83" s="2"/>
      <c r="AF83" s="533">
        <f>-SUM(AG83:AI83)</f>
        <v>-3.3195405958090305</v>
      </c>
      <c r="AG83" s="534">
        <f>AG$51*T83</f>
        <v>1230.7266683436053</v>
      </c>
      <c r="AH83" s="534">
        <f>AH$51*U83</f>
        <v>-3016.0292740126924</v>
      </c>
      <c r="AI83" s="535">
        <f>AI$51*V83</f>
        <v>1788.6221462648962</v>
      </c>
      <c r="AJ83" s="2"/>
      <c r="AV83" s="2"/>
      <c r="AW83" s="2"/>
      <c r="AX83" s="2"/>
      <c r="AY83" s="2"/>
      <c r="AZ83" s="2"/>
    </row>
    <row r="84" spans="4:52" ht="13.5" customHeight="1">
      <c r="D84" s="394"/>
      <c r="F84" s="394"/>
      <c r="G84" s="100" t="s">
        <v>93</v>
      </c>
      <c r="H84" s="10" t="s">
        <v>2</v>
      </c>
      <c r="I84" s="10" t="s">
        <v>3</v>
      </c>
      <c r="J84" s="10" t="s">
        <v>4</v>
      </c>
      <c r="K84" s="10" t="s">
        <v>0</v>
      </c>
      <c r="P84" s="527" t="s">
        <v>170</v>
      </c>
      <c r="Q84" s="549" t="s">
        <v>29</v>
      </c>
      <c r="R84" s="100" t="s">
        <v>104</v>
      </c>
      <c r="S84" s="256" t="s">
        <v>2</v>
      </c>
      <c r="T84" s="256" t="s">
        <v>3</v>
      </c>
      <c r="U84" s="256" t="s">
        <v>4</v>
      </c>
      <c r="V84" s="256" t="s">
        <v>0</v>
      </c>
      <c r="W84" s="2"/>
      <c r="X84" s="325"/>
      <c r="AB84" s="394"/>
      <c r="AC84" s="2"/>
      <c r="AD84" s="561" t="s">
        <v>258</v>
      </c>
      <c r="AE84" s="532" t="s">
        <v>110</v>
      </c>
      <c r="AF84" s="10" t="s">
        <v>2</v>
      </c>
      <c r="AG84" s="10">
        <v>1</v>
      </c>
      <c r="AH84" s="10" t="s">
        <v>4</v>
      </c>
      <c r="AI84" s="10" t="s">
        <v>0</v>
      </c>
      <c r="AJ84" s="2"/>
      <c r="AV84" s="2"/>
      <c r="AW84" s="2"/>
      <c r="AX84" s="2"/>
      <c r="AY84" s="2"/>
      <c r="AZ84" s="2"/>
    </row>
    <row r="85" spans="3:52" ht="13.5" customHeight="1">
      <c r="C85" s="10" t="s">
        <v>2</v>
      </c>
      <c r="D85" s="572">
        <f>D29+DT*(D78-D80)</f>
        <v>0</v>
      </c>
      <c r="F85" s="572">
        <f>F29+DT*(F72-3*F29/Term2+F78-F80)</f>
        <v>0</v>
      </c>
      <c r="G85" s="414" t="s">
        <v>2</v>
      </c>
      <c r="H85" s="464">
        <f>H29+DT*(S85-H$10*H29*3)</f>
        <v>34217.78652436342</v>
      </c>
      <c r="I85" s="52">
        <f aca="true" t="shared" si="12" ref="H85:K88">I29+DT*(T85-I$10*I29*3)</f>
        <v>-334.015705670552</v>
      </c>
      <c r="J85" s="53">
        <f t="shared" si="12"/>
        <v>-741.4360038525795</v>
      </c>
      <c r="K85" s="53">
        <f t="shared" si="12"/>
        <v>-2922</v>
      </c>
      <c r="L85" s="10" t="s">
        <v>2</v>
      </c>
      <c r="P85" s="528" t="s">
        <v>246</v>
      </c>
      <c r="Q85" s="525">
        <f>AD77+AD85</f>
        <v>3.3195405958090305</v>
      </c>
      <c r="R85" s="10" t="s">
        <v>2</v>
      </c>
      <c r="S85" s="579">
        <f>-S83-SUM(S86:S88)</f>
        <v>102654.14437099297</v>
      </c>
      <c r="T85" s="330">
        <f>-X22</f>
        <v>-100.23971709604768</v>
      </c>
      <c r="U85" s="331">
        <f>-X23</f>
        <v>-741.4927917698669</v>
      </c>
      <c r="V85" s="454">
        <f>-AI7</f>
        <v>-8766</v>
      </c>
      <c r="W85" s="10" t="s">
        <v>2</v>
      </c>
      <c r="X85" s="347" t="s">
        <v>152</v>
      </c>
      <c r="AB85" s="394"/>
      <c r="AC85" s="419"/>
      <c r="AD85" s="514">
        <f>-AF83</f>
        <v>3.3195405958090305</v>
      </c>
      <c r="AE85" s="10" t="s">
        <v>2</v>
      </c>
      <c r="AF85" s="514">
        <f>-SUM(AG85:AI85)</f>
        <v>197623.6525162898</v>
      </c>
      <c r="AG85" s="536">
        <f>-AG83-SUM(AG86:AG88)</f>
        <v>-84032.1697477108</v>
      </c>
      <c r="AH85" s="537">
        <f>-AH83-SUM(AH86:AH88)</f>
        <v>-75548.84841942035</v>
      </c>
      <c r="AI85" s="537">
        <f>-AI83-SUM(AI86:AI88)</f>
        <v>-38042.634349158645</v>
      </c>
      <c r="AJ85" s="10" t="s">
        <v>2</v>
      </c>
      <c r="AK85" s="2"/>
      <c r="AM85" s="2"/>
      <c r="AV85" s="2"/>
      <c r="AW85" s="2"/>
      <c r="AX85" s="2"/>
      <c r="AY85" s="2"/>
      <c r="AZ85" s="2"/>
    </row>
    <row r="86" spans="1:52" ht="13.5" customHeight="1">
      <c r="A86" s="2"/>
      <c r="C86" s="10" t="s">
        <v>3</v>
      </c>
      <c r="D86" s="522">
        <f>D30+DT*(Q86-Q22)</f>
        <v>76679.58990079166</v>
      </c>
      <c r="F86" s="522"/>
      <c r="G86" s="414" t="s">
        <v>3</v>
      </c>
      <c r="H86" s="465">
        <f t="shared" si="12"/>
        <v>-13230.919845601395</v>
      </c>
      <c r="I86" s="60">
        <f t="shared" si="12"/>
        <v>165.30026033139367</v>
      </c>
      <c r="J86" s="61">
        <f t="shared" si="12"/>
        <v>162.68275820685614</v>
      </c>
      <c r="K86" s="61">
        <f t="shared" si="12"/>
        <v>320.53613061005643</v>
      </c>
      <c r="L86" s="256" t="s">
        <v>3</v>
      </c>
      <c r="Q86" s="526">
        <f>AD78+AD86</f>
        <v>-7619.12624165041</v>
      </c>
      <c r="R86" s="10" t="s">
        <v>3</v>
      </c>
      <c r="S86" s="564">
        <f>S$79*S67</f>
        <v>-39693.06408831635</v>
      </c>
      <c r="T86" s="319">
        <f aca="true" t="shared" si="13" ref="T86:V87">T$79*T67</f>
        <v>49.6051784008268</v>
      </c>
      <c r="U86" s="304">
        <f t="shared" si="13"/>
        <v>162.69513232844932</v>
      </c>
      <c r="V86" s="301">
        <f t="shared" si="13"/>
        <v>961.607112220746</v>
      </c>
      <c r="W86" s="10" t="s">
        <v>3</v>
      </c>
      <c r="X86" s="2"/>
      <c r="AB86" s="394"/>
      <c r="AC86" s="527" t="s">
        <v>169</v>
      </c>
      <c r="AD86" s="519">
        <f>AG85-AF86</f>
        <v>-7617.005503821507</v>
      </c>
      <c r="AE86" s="10" t="s">
        <v>3</v>
      </c>
      <c r="AF86" s="538">
        <f>-SUM(AG86:AI86)</f>
        <v>-76415.16424388929</v>
      </c>
      <c r="AG86" s="539">
        <f aca="true" t="shared" si="14" ref="AG86:AI87">AG$51*T86</f>
        <v>41584.622268533036</v>
      </c>
      <c r="AH86" s="540">
        <f t="shared" si="14"/>
        <v>16576.60064573409</v>
      </c>
      <c r="AI86" s="540">
        <f t="shared" si="14"/>
        <v>18253.941329622165</v>
      </c>
      <c r="AJ86" s="10" t="s">
        <v>3</v>
      </c>
      <c r="AS86" s="2"/>
      <c r="AV86" s="2"/>
      <c r="AW86" s="2"/>
      <c r="AX86" s="2"/>
      <c r="AY86" s="2"/>
      <c r="AZ86" s="2"/>
    </row>
    <row r="87" spans="3:52" ht="13.5" customHeight="1">
      <c r="C87" s="10" t="s">
        <v>4</v>
      </c>
      <c r="D87" s="522">
        <f>D31+DT*(Q87-Q23)</f>
        <v>68300.29475553222</v>
      </c>
      <c r="F87" s="522"/>
      <c r="G87" s="414" t="s">
        <v>4</v>
      </c>
      <c r="H87" s="466">
        <f t="shared" si="12"/>
        <v>-11905.361796684572</v>
      </c>
      <c r="I87" s="224">
        <f t="shared" si="12"/>
        <v>97.47590323178618</v>
      </c>
      <c r="J87" s="225">
        <f t="shared" si="12"/>
        <v>257.4804816883388</v>
      </c>
      <c r="K87" s="226">
        <f t="shared" si="12"/>
        <v>316.0770559947119</v>
      </c>
      <c r="L87" s="256" t="s">
        <v>4</v>
      </c>
      <c r="Q87" s="526">
        <f>AD79+AD87</f>
        <v>-6787.784629061448</v>
      </c>
      <c r="R87" s="10" t="s">
        <v>4</v>
      </c>
      <c r="S87" s="565">
        <f>S$79*S68</f>
        <v>-35716.39548252289</v>
      </c>
      <c r="T87" s="302">
        <f t="shared" si="13"/>
        <v>29.25271688465651</v>
      </c>
      <c r="U87" s="303">
        <f t="shared" si="13"/>
        <v>257.49934503037605</v>
      </c>
      <c r="V87" s="304">
        <f t="shared" si="13"/>
        <v>948.2333628478759</v>
      </c>
      <c r="W87" s="10" t="s">
        <v>4</v>
      </c>
      <c r="X87" s="328" t="s">
        <v>115</v>
      </c>
      <c r="AB87" s="394"/>
      <c r="AC87" s="527" t="s">
        <v>248</v>
      </c>
      <c r="AD87" s="519">
        <f>AH85-AF87</f>
        <v>-6789.905366890351</v>
      </c>
      <c r="AE87" s="10" t="s">
        <v>4</v>
      </c>
      <c r="AF87" s="541">
        <f>-SUM(AG87:AI87)</f>
        <v>-68758.94305253</v>
      </c>
      <c r="AG87" s="542">
        <f t="shared" si="14"/>
        <v>24522.907107547144</v>
      </c>
      <c r="AH87" s="543">
        <f t="shared" si="14"/>
        <v>26235.96507171126</v>
      </c>
      <c r="AI87" s="547">
        <f t="shared" si="14"/>
        <v>18000.070873271587</v>
      </c>
      <c r="AJ87" s="10" t="s">
        <v>4</v>
      </c>
      <c r="AM87" s="2"/>
      <c r="AN87" s="2"/>
      <c r="AO87" s="2"/>
      <c r="AV87" s="2"/>
      <c r="AW87" s="2"/>
      <c r="AX87" s="2"/>
      <c r="AY87" s="2"/>
      <c r="AZ87" s="2"/>
    </row>
    <row r="88" spans="3:52" ht="13.5" customHeight="1" thickBot="1">
      <c r="C88" s="10" t="s">
        <v>0</v>
      </c>
      <c r="D88" s="523"/>
      <c r="F88" s="523">
        <f>F32+DT*(F75-3*F32/Term2+Q88-Q24)</f>
        <v>-40328.02837530775</v>
      </c>
      <c r="G88" s="414" t="s">
        <v>0</v>
      </c>
      <c r="H88" s="467">
        <f t="shared" si="12"/>
        <v>-9080.925958096008</v>
      </c>
      <c r="I88" s="227">
        <f t="shared" si="12"/>
        <v>66.3663878919977</v>
      </c>
      <c r="J88" s="228">
        <f t="shared" si="12"/>
        <v>350.8799763201459</v>
      </c>
      <c r="K88" s="229">
        <f t="shared" si="12"/>
        <v>2253.9678808907315</v>
      </c>
      <c r="L88" s="10" t="s">
        <v>0</v>
      </c>
      <c r="O88" s="394"/>
      <c r="P88" s="527" t="s">
        <v>247</v>
      </c>
      <c r="Q88" s="512">
        <f>AD80+AD88</f>
        <v>14403.591330116062</v>
      </c>
      <c r="R88" s="10" t="s">
        <v>0</v>
      </c>
      <c r="S88" s="566">
        <f>S$79*S69</f>
        <v>-27242.960058097506</v>
      </c>
      <c r="T88" s="305">
        <f>T$79*T69</f>
        <v>19.913721041207683</v>
      </c>
      <c r="U88" s="306">
        <f>U$79*U69</f>
        <v>350.89987701900907</v>
      </c>
      <c r="V88" s="307">
        <f>-V83-SUM(V85:V87)</f>
        <v>6761.935940782307</v>
      </c>
      <c r="W88" s="10" t="s">
        <v>0</v>
      </c>
      <c r="X88" s="328" t="s">
        <v>113</v>
      </c>
      <c r="AC88" s="445"/>
      <c r="AD88" s="513">
        <f>AI85-AF88</f>
        <v>14403.591330116062</v>
      </c>
      <c r="AE88" s="10" t="s">
        <v>0</v>
      </c>
      <c r="AF88" s="544">
        <f>-SUM(AG88:AI88)</f>
        <v>-52446.22567927471</v>
      </c>
      <c r="AG88" s="545">
        <f>AG$51*T88</f>
        <v>16693.913703287024</v>
      </c>
      <c r="AH88" s="546">
        <f>AH$51*U88</f>
        <v>35752.311975987686</v>
      </c>
      <c r="AI88" s="308">
        <v>0</v>
      </c>
      <c r="AJ88" s="10" t="s">
        <v>0</v>
      </c>
      <c r="AK88" s="2"/>
      <c r="AM88" s="2"/>
      <c r="AN88" s="2"/>
      <c r="AO88" s="2"/>
      <c r="AV88" s="2"/>
      <c r="AW88" s="2"/>
      <c r="AX88" s="2"/>
      <c r="AY88" s="2"/>
      <c r="AZ88" s="2"/>
    </row>
    <row r="89" spans="5:52" ht="13.5" customHeight="1">
      <c r="E89" s="2"/>
      <c r="F89" s="2"/>
      <c r="G89" s="2"/>
      <c r="H89" s="2"/>
      <c r="I89" s="2"/>
      <c r="J89" s="2"/>
      <c r="K89" s="2"/>
      <c r="L89" s="2"/>
      <c r="O89" s="394"/>
      <c r="P89" s="529" t="s">
        <v>171</v>
      </c>
      <c r="AF89" s="524" t="s">
        <v>218</v>
      </c>
      <c r="AM89" s="2"/>
      <c r="AN89" s="2"/>
      <c r="AO89" s="2"/>
      <c r="AU89" s="2"/>
      <c r="AV89" s="2"/>
      <c r="AW89" s="2"/>
      <c r="AX89" s="2"/>
      <c r="AY89" s="2"/>
      <c r="AZ89" s="2"/>
    </row>
    <row r="90" spans="5:52" ht="13.5" customHeight="1">
      <c r="E90" s="2"/>
      <c r="F90" s="2"/>
      <c r="G90" s="2"/>
      <c r="H90" s="2"/>
      <c r="I90" s="2"/>
      <c r="J90" s="2"/>
      <c r="K90" s="2"/>
      <c r="AM90" s="2"/>
      <c r="AN90" s="2"/>
      <c r="AO90" s="2"/>
      <c r="AU90" s="2"/>
      <c r="AV90" s="2"/>
      <c r="AW90" s="2"/>
      <c r="AX90" s="2"/>
      <c r="AY90" s="2"/>
      <c r="AZ90" s="2"/>
    </row>
    <row r="91" spans="2:52" ht="13.5" customHeight="1" thickBot="1">
      <c r="B91" s="2"/>
      <c r="G91" s="2"/>
      <c r="H91" s="468">
        <f>H35+DT*H$10*3*(H27-H35)</f>
        <v>-0.5913257818747941</v>
      </c>
      <c r="I91" s="44">
        <f>I35+DT*I$10*3*(I27-I35)</f>
        <v>4.8489207921888955</v>
      </c>
      <c r="J91" s="44">
        <f>J35+DT*J$10*3*(J27-J35)</f>
        <v>-29.612844631405054</v>
      </c>
      <c r="K91" s="387">
        <f>K35+DT*K$10*3*(K27-K35)</f>
        <v>31.43071842942135</v>
      </c>
      <c r="Q91" s="378">
        <f>GPE!C8</f>
        <v>-0.28861114475876093</v>
      </c>
      <c r="S91" s="377">
        <f>GPE!E8</f>
        <v>0</v>
      </c>
      <c r="T91" s="378">
        <f>GPE!F8</f>
        <v>0</v>
      </c>
      <c r="U91" s="378">
        <f>GPE!G8</f>
        <v>0</v>
      </c>
      <c r="V91" s="378">
        <f>GPE!H8</f>
        <v>0</v>
      </c>
      <c r="AN91" s="2"/>
      <c r="AO91" s="2"/>
      <c r="AU91" s="2"/>
      <c r="AV91" s="2"/>
      <c r="AW91" s="2"/>
      <c r="AX91" s="2"/>
      <c r="AY91" s="2"/>
      <c r="AZ91" s="2"/>
    </row>
    <row r="92" spans="2:52" ht="13.5" customHeight="1">
      <c r="B92" s="2"/>
      <c r="F92" s="394"/>
      <c r="G92" s="100" t="s">
        <v>94</v>
      </c>
      <c r="H92" s="10" t="s">
        <v>2</v>
      </c>
      <c r="I92" s="10" t="s">
        <v>3</v>
      </c>
      <c r="J92" s="10" t="s">
        <v>4</v>
      </c>
      <c r="K92" s="10" t="s">
        <v>0</v>
      </c>
      <c r="L92" s="2"/>
      <c r="Q92" s="384" t="s">
        <v>29</v>
      </c>
      <c r="R92" s="359" t="s">
        <v>111</v>
      </c>
      <c r="S92" s="181" t="s">
        <v>2</v>
      </c>
      <c r="T92" s="181" t="s">
        <v>3</v>
      </c>
      <c r="U92" s="181" t="s">
        <v>4</v>
      </c>
      <c r="V92" s="181" t="s">
        <v>0</v>
      </c>
      <c r="AN92" s="2"/>
      <c r="AO92" s="2"/>
      <c r="AU92" s="2"/>
      <c r="AV92" s="2"/>
      <c r="AW92" s="2"/>
      <c r="AX92" s="2"/>
      <c r="AY92" s="2"/>
      <c r="AZ92" s="2"/>
    </row>
    <row r="93" spans="1:52" ht="13.5" customHeight="1">
      <c r="A93" s="2"/>
      <c r="F93" s="572">
        <f>F37+DT*3*(F29-F37)/Term2</f>
        <v>0</v>
      </c>
      <c r="G93" s="414" t="s">
        <v>2</v>
      </c>
      <c r="H93" s="464">
        <f aca="true" t="shared" si="15" ref="H93:K96">H37+DT*H$10*3*(H29-H37)</f>
        <v>34217.51178824507</v>
      </c>
      <c r="I93" s="52">
        <f t="shared" si="15"/>
        <v>-333.86174699786756</v>
      </c>
      <c r="J93" s="53">
        <f t="shared" si="15"/>
        <v>-741.3750453360441</v>
      </c>
      <c r="K93" s="53">
        <f t="shared" si="15"/>
        <v>-2922</v>
      </c>
      <c r="L93" s="10" t="s">
        <v>2</v>
      </c>
      <c r="Q93" s="381">
        <f>GPE!C10</f>
        <v>0</v>
      </c>
      <c r="R93" s="181" t="s">
        <v>2</v>
      </c>
      <c r="S93" s="379">
        <f>GPE!E10</f>
        <v>104588.82611424987</v>
      </c>
      <c r="T93" s="379">
        <f>GPE!F10</f>
        <v>-100</v>
      </c>
      <c r="U93" s="379">
        <f>GPE!G10</f>
        <v>-750</v>
      </c>
      <c r="V93" s="379">
        <f>GPE!H10</f>
        <v>-8766</v>
      </c>
      <c r="W93" s="181" t="s">
        <v>2</v>
      </c>
      <c r="AL93" s="2"/>
      <c r="AM93" s="2"/>
      <c r="AN93" s="2"/>
      <c r="AO93" s="2"/>
      <c r="AU93" s="2"/>
      <c r="AV93" s="2"/>
      <c r="AW93" s="2"/>
      <c r="AX93" s="2"/>
      <c r="AY93" s="2"/>
      <c r="AZ93" s="2"/>
    </row>
    <row r="94" spans="1:52" ht="13.5" customHeight="1">
      <c r="A94" s="2"/>
      <c r="F94" s="522"/>
      <c r="G94" s="414" t="s">
        <v>3</v>
      </c>
      <c r="H94" s="465">
        <f t="shared" si="15"/>
        <v>-13230.810167240645</v>
      </c>
      <c r="I94" s="60">
        <f t="shared" si="15"/>
        <v>165.2311459902863</v>
      </c>
      <c r="J94" s="61">
        <f t="shared" si="15"/>
        <v>162.6694694318155</v>
      </c>
      <c r="K94" s="61">
        <f t="shared" si="15"/>
        <v>320.5365235997498</v>
      </c>
      <c r="L94" s="256" t="s">
        <v>3</v>
      </c>
      <c r="Q94" s="380">
        <f>GPE!C11</f>
        <v>-8035.153797865685</v>
      </c>
      <c r="R94" s="181" t="s">
        <v>3</v>
      </c>
      <c r="S94" s="379">
        <f>GPE!E11</f>
        <v>-40175.76898932832</v>
      </c>
      <c r="T94" s="380">
        <f>GPE!F11</f>
        <v>50</v>
      </c>
      <c r="U94" s="380">
        <f>GPE!G11</f>
        <v>150</v>
      </c>
      <c r="V94" s="380">
        <f>GPE!H11</f>
        <v>1000</v>
      </c>
      <c r="W94" s="181" t="s">
        <v>3</v>
      </c>
      <c r="AL94" s="2"/>
      <c r="AM94" s="2"/>
      <c r="AN94" s="2"/>
      <c r="AO94" s="2"/>
      <c r="AU94" s="2"/>
      <c r="AV94" s="2"/>
      <c r="AW94" s="2"/>
      <c r="AX94" s="2"/>
      <c r="AY94" s="2"/>
      <c r="AZ94" s="2"/>
    </row>
    <row r="95" spans="1:52" ht="13.5" customHeight="1">
      <c r="A95" s="2"/>
      <c r="F95" s="522"/>
      <c r="G95" s="414" t="s">
        <v>4</v>
      </c>
      <c r="H95" s="466">
        <f t="shared" si="15"/>
        <v>-11905.250231312904</v>
      </c>
      <c r="I95" s="224">
        <f t="shared" si="15"/>
        <v>97.43216779811593</v>
      </c>
      <c r="J95" s="225">
        <f t="shared" si="15"/>
        <v>257.46006065179205</v>
      </c>
      <c r="K95" s="226">
        <f t="shared" si="15"/>
        <v>316.07622102040204</v>
      </c>
      <c r="L95" s="256" t="s">
        <v>4</v>
      </c>
      <c r="Q95" s="380">
        <f>GPE!C12</f>
        <v>-7344.632768361582</v>
      </c>
      <c r="R95" s="181" t="s">
        <v>4</v>
      </c>
      <c r="S95" s="379">
        <f>GPE!E12</f>
        <v>-36723.16384180792</v>
      </c>
      <c r="T95" s="380">
        <f>GPE!F12</f>
        <v>30</v>
      </c>
      <c r="U95" s="380">
        <f>GPE!G12</f>
        <v>250</v>
      </c>
      <c r="V95" s="380">
        <f>GPE!H12</f>
        <v>1000</v>
      </c>
      <c r="W95" s="181" t="s">
        <v>4</v>
      </c>
      <c r="AL95" s="2"/>
      <c r="AM95" s="2"/>
      <c r="AN95" s="2"/>
      <c r="AO95" s="2"/>
      <c r="AP95" s="2"/>
      <c r="AQ95" s="2"/>
      <c r="AR95" s="2"/>
      <c r="AS95" s="2"/>
      <c r="AT95" s="2"/>
      <c r="AU95" s="2"/>
      <c r="AV95" s="2"/>
      <c r="AW95" s="2"/>
      <c r="AX95" s="2"/>
      <c r="AY95" s="2"/>
      <c r="AZ95" s="2"/>
    </row>
    <row r="96" spans="1:52" ht="13.5" customHeight="1" thickBot="1">
      <c r="A96" s="2"/>
      <c r="B96" s="2"/>
      <c r="F96" s="523">
        <f>F40+DT*3*(F32-F40)/Term2</f>
        <v>-40314.15011569061</v>
      </c>
      <c r="G96" s="414" t="s">
        <v>0</v>
      </c>
      <c r="H96" s="467">
        <f t="shared" si="15"/>
        <v>-9080.86006390966</v>
      </c>
      <c r="I96" s="227">
        <f t="shared" si="15"/>
        <v>66.34951241727651</v>
      </c>
      <c r="J96" s="228">
        <f t="shared" si="15"/>
        <v>350.8583598838417</v>
      </c>
      <c r="K96" s="229">
        <f t="shared" si="15"/>
        <v>2253.956536950427</v>
      </c>
      <c r="L96" s="256" t="s">
        <v>0</v>
      </c>
      <c r="Q96" s="380">
        <f>GPE!C13</f>
        <v>15379.78656622726</v>
      </c>
      <c r="R96" s="181" t="s">
        <v>0</v>
      </c>
      <c r="S96" s="379">
        <f>GPE!E13</f>
        <v>-27689.89328311363</v>
      </c>
      <c r="T96" s="380">
        <f>GPE!F13</f>
        <v>20</v>
      </c>
      <c r="U96" s="380">
        <f>GPE!G13</f>
        <v>350</v>
      </c>
      <c r="V96" s="380">
        <f>GPE!H13</f>
        <v>6766</v>
      </c>
      <c r="W96" s="181" t="s">
        <v>0</v>
      </c>
      <c r="AP96" s="2"/>
      <c r="AQ96" s="2"/>
      <c r="AR96" s="2"/>
      <c r="AS96" s="2"/>
      <c r="AT96" s="2"/>
      <c r="AU96" s="2"/>
      <c r="AV96" s="2"/>
      <c r="AW96" s="2"/>
      <c r="AX96" s="2"/>
      <c r="AY96" s="2"/>
      <c r="AZ96" s="2"/>
    </row>
    <row r="97" spans="1:52" ht="13.5" customHeight="1">
      <c r="A97" s="2"/>
      <c r="B97" s="420" t="s">
        <v>189</v>
      </c>
      <c r="F97" s="2"/>
      <c r="G97" s="2"/>
      <c r="H97" s="2"/>
      <c r="I97" s="2"/>
      <c r="J97" s="2"/>
      <c r="K97" s="2"/>
      <c r="L97" s="2"/>
      <c r="AX97" s="2"/>
      <c r="AY97" s="2"/>
      <c r="AZ97" s="2"/>
    </row>
    <row r="98" spans="1:52" ht="13.5" customHeight="1">
      <c r="A98" s="2"/>
      <c r="B98" s="421" t="s">
        <v>168</v>
      </c>
      <c r="F98" s="2"/>
      <c r="G98" s="2"/>
      <c r="H98" s="2"/>
      <c r="I98" s="2"/>
      <c r="J98" s="2"/>
      <c r="K98" s="2"/>
      <c r="AX98" s="2"/>
      <c r="AY98" s="2"/>
      <c r="AZ98" s="2"/>
    </row>
    <row r="99" spans="1:52" ht="13.5" customHeight="1" thickBot="1">
      <c r="A99" s="2"/>
      <c r="G99" s="2"/>
      <c r="H99" s="468">
        <f>H43+DT*H$10*3*(H35-H43)</f>
        <v>-0.6040660718225954</v>
      </c>
      <c r="I99" s="44">
        <f>I43+DT*I$10*3*(I35-I43)</f>
        <v>4.820712612596978</v>
      </c>
      <c r="J99" s="44">
        <f>J43+DT*J$10*3*(J35-J43)</f>
        <v>-29.6184823524415</v>
      </c>
      <c r="K99" s="387">
        <f>K43+DT*K$10*3*(K35-K43)</f>
        <v>31.442772471556147</v>
      </c>
      <c r="Q99" s="581" t="s">
        <v>271</v>
      </c>
      <c r="AP99" s="2"/>
      <c r="AQ99" s="2"/>
      <c r="AR99" s="2"/>
      <c r="AS99" s="2"/>
      <c r="AT99" s="2"/>
      <c r="AU99" s="2"/>
      <c r="AV99" s="2"/>
      <c r="AW99" s="2"/>
      <c r="AX99" s="2"/>
      <c r="AY99" s="2"/>
      <c r="AZ99" s="2"/>
    </row>
    <row r="100" spans="2:52" ht="13.5" customHeight="1">
      <c r="B100" s="2"/>
      <c r="F100" s="394"/>
      <c r="G100" s="100" t="s">
        <v>79</v>
      </c>
      <c r="H100" s="10" t="s">
        <v>2</v>
      </c>
      <c r="I100" s="10" t="s">
        <v>3</v>
      </c>
      <c r="J100" s="10" t="s">
        <v>4</v>
      </c>
      <c r="K100" s="10" t="s">
        <v>0</v>
      </c>
      <c r="N100" s="2"/>
      <c r="Q100" s="554" t="s">
        <v>267</v>
      </c>
      <c r="AP100" s="2"/>
      <c r="AQ100" s="2"/>
      <c r="AR100" s="2"/>
      <c r="AS100" s="2"/>
      <c r="AT100" s="2"/>
      <c r="AU100" s="2"/>
      <c r="AV100" s="2"/>
      <c r="AW100" s="2"/>
      <c r="AX100" s="2"/>
      <c r="AY100" s="2"/>
      <c r="AZ100" s="2"/>
    </row>
    <row r="101" spans="1:52" ht="13.5" customHeight="1">
      <c r="A101" s="2"/>
      <c r="F101" s="572">
        <f>F45+DT*3*(F37-F45)/Term2</f>
        <v>0</v>
      </c>
      <c r="G101" s="414" t="s">
        <v>2</v>
      </c>
      <c r="H101" s="464">
        <f aca="true" t="shared" si="16" ref="H101:K104">H45+DT*H$10*3*(H37-H45)</f>
        <v>34217.230538527074</v>
      </c>
      <c r="I101" s="52">
        <f t="shared" si="16"/>
        <v>-333.66424584968723</v>
      </c>
      <c r="J101" s="53">
        <f t="shared" si="16"/>
        <v>-741.3104183872335</v>
      </c>
      <c r="K101" s="53">
        <f t="shared" si="16"/>
        <v>-2922</v>
      </c>
      <c r="L101" s="10" t="s">
        <v>2</v>
      </c>
      <c r="N101" s="2"/>
      <c r="Q101" s="514"/>
      <c r="R101" s="10" t="s">
        <v>2</v>
      </c>
      <c r="AP101" s="2"/>
      <c r="AQ101" s="2"/>
      <c r="AR101" s="2"/>
      <c r="AS101" s="2"/>
      <c r="AT101" s="2"/>
      <c r="AU101" s="2"/>
      <c r="AV101" s="2"/>
      <c r="AW101" s="2"/>
      <c r="AX101" s="2"/>
      <c r="AY101" s="2"/>
      <c r="AZ101" s="2"/>
    </row>
    <row r="102" spans="1:52" ht="13.5" customHeight="1">
      <c r="A102" s="2"/>
      <c r="F102" s="522"/>
      <c r="G102" s="414" t="s">
        <v>3</v>
      </c>
      <c r="H102" s="465">
        <f t="shared" si="16"/>
        <v>-13230.697980926278</v>
      </c>
      <c r="I102" s="60">
        <f t="shared" si="16"/>
        <v>165.13722510711634</v>
      </c>
      <c r="J102" s="61">
        <f t="shared" si="16"/>
        <v>162.6554163957957</v>
      </c>
      <c r="K102" s="61">
        <f t="shared" si="16"/>
        <v>320.5369289655292</v>
      </c>
      <c r="L102" s="256" t="s">
        <v>3</v>
      </c>
      <c r="N102" s="2"/>
      <c r="Q102" s="519">
        <f>AD58/(Q8/Q30-1)</f>
        <v>-7632.242568289442</v>
      </c>
      <c r="R102" s="10" t="s">
        <v>3</v>
      </c>
      <c r="AP102" s="2"/>
      <c r="AQ102" s="2"/>
      <c r="AR102" s="2"/>
      <c r="AS102" s="2"/>
      <c r="AT102" s="2"/>
      <c r="AU102" s="2"/>
      <c r="AV102" s="2"/>
      <c r="AW102" s="2"/>
      <c r="AX102" s="2"/>
      <c r="AY102" s="2"/>
      <c r="AZ102" s="2"/>
    </row>
    <row r="103" spans="1:52" ht="13.5" customHeight="1">
      <c r="A103" s="2"/>
      <c r="F103" s="522"/>
      <c r="G103" s="414" t="s">
        <v>4</v>
      </c>
      <c r="H103" s="466">
        <f t="shared" si="16"/>
        <v>-11905.135856846762</v>
      </c>
      <c r="I103" s="224">
        <f t="shared" si="16"/>
        <v>97.37988304121393</v>
      </c>
      <c r="J103" s="225">
        <f t="shared" si="16"/>
        <v>257.4382596511053</v>
      </c>
      <c r="K103" s="226">
        <f t="shared" si="16"/>
        <v>316.07536144835535</v>
      </c>
      <c r="L103" s="256" t="s">
        <v>4</v>
      </c>
      <c r="N103" s="2"/>
      <c r="Q103" s="519">
        <f>AD59/(Q9/Q31-1)</f>
        <v>-6798.307414330342</v>
      </c>
      <c r="R103" s="10" t="s">
        <v>4</v>
      </c>
      <c r="AE103" s="2"/>
      <c r="AG103" s="2"/>
      <c r="AH103" s="2"/>
      <c r="AI103" s="2"/>
      <c r="AP103" s="2"/>
      <c r="AQ103" s="2"/>
      <c r="AR103" s="2"/>
      <c r="AS103" s="2"/>
      <c r="AT103" s="2"/>
      <c r="AU103" s="2"/>
      <c r="AV103" s="2"/>
      <c r="AW103" s="2"/>
      <c r="AX103" s="2"/>
      <c r="AY103" s="2"/>
      <c r="AZ103" s="2"/>
    </row>
    <row r="104" spans="6:52" ht="13.5" customHeight="1" thickBot="1">
      <c r="F104" s="523">
        <f>F48+DT*3*(F40-F48)/Term2</f>
        <v>-40298.530315780336</v>
      </c>
      <c r="G104" s="414" t="s">
        <v>0</v>
      </c>
      <c r="H104" s="467">
        <f t="shared" si="16"/>
        <v>-9080.792634682237</v>
      </c>
      <c r="I104" s="227">
        <f t="shared" si="16"/>
        <v>66.32642508875996</v>
      </c>
      <c r="J104" s="228">
        <f t="shared" si="16"/>
        <v>350.8352246927738</v>
      </c>
      <c r="K104" s="229">
        <f t="shared" si="16"/>
        <v>2253.9449371145597</v>
      </c>
      <c r="L104" s="256" t="s">
        <v>0</v>
      </c>
      <c r="N104" s="2"/>
      <c r="Q104" s="513">
        <f>AD60/(Q10/Q32-1)</f>
        <v>14432.24087329035</v>
      </c>
      <c r="R104" s="10" t="s">
        <v>0</v>
      </c>
      <c r="AP104" s="2"/>
      <c r="AQ104" s="2"/>
      <c r="AR104" s="2"/>
      <c r="AS104" s="2"/>
      <c r="AT104" s="2"/>
      <c r="AU104" s="2"/>
      <c r="AV104" s="2"/>
      <c r="AW104" s="2"/>
      <c r="AX104" s="2"/>
      <c r="AY104" s="2"/>
      <c r="AZ104" s="2"/>
    </row>
    <row r="105" spans="5:52" ht="13.5" customHeight="1">
      <c r="E105" s="2"/>
      <c r="F105" s="2"/>
      <c r="I105" s="2"/>
      <c r="J105" s="2"/>
      <c r="K105" s="2"/>
      <c r="AP105" s="2"/>
      <c r="AQ105" s="2"/>
      <c r="AR105" s="2"/>
      <c r="AS105" s="2"/>
      <c r="AT105" s="2"/>
      <c r="AU105" s="2"/>
      <c r="AV105" s="2"/>
      <c r="AW105" s="2"/>
      <c r="AX105" s="2"/>
      <c r="AY105" s="2"/>
      <c r="AZ105" s="2"/>
    </row>
    <row r="106" spans="1:52" ht="13.5" customHeight="1">
      <c r="A106" s="2"/>
      <c r="B106" s="2"/>
      <c r="C106" s="2"/>
      <c r="I106" s="2"/>
      <c r="J106" s="2"/>
      <c r="K106" s="2"/>
      <c r="N106" s="2"/>
      <c r="AP106" s="2"/>
      <c r="AQ106" s="2"/>
      <c r="AR106" s="2"/>
      <c r="AS106" s="2"/>
      <c r="AT106" s="2"/>
      <c r="AU106" s="2"/>
      <c r="AV106" s="2"/>
      <c r="AW106" s="2"/>
      <c r="AX106" s="2"/>
      <c r="AY106" s="2"/>
      <c r="AZ106" s="2"/>
    </row>
    <row r="107" spans="1:52" ht="13.5" customHeight="1" thickBot="1">
      <c r="A107" s="2"/>
      <c r="I107" s="2"/>
      <c r="J107" s="2"/>
      <c r="K107" s="369">
        <f>K51+DT*Q107</f>
        <v>-10213.028437338453</v>
      </c>
      <c r="N107" s="2"/>
      <c r="Q107" s="370">
        <f>(Q104-Q24)/AI51/(1-X32)</f>
        <v>0.13397186314279289</v>
      </c>
      <c r="R107" s="428" t="s">
        <v>182</v>
      </c>
      <c r="S107" s="431" t="s">
        <v>146</v>
      </c>
      <c r="AP107" s="2"/>
      <c r="AQ107" s="2"/>
      <c r="AR107" s="2"/>
      <c r="AS107" s="2"/>
      <c r="AT107" s="2"/>
      <c r="AU107" s="2"/>
      <c r="AV107" s="2"/>
      <c r="AW107" s="2"/>
      <c r="AX107" s="2"/>
      <c r="AY107" s="2"/>
      <c r="AZ107" s="2"/>
    </row>
    <row r="108" spans="2:52" ht="13.5" customHeight="1">
      <c r="B108" s="2"/>
      <c r="C108" s="2"/>
      <c r="K108" s="493">
        <v>-10219.742864345546</v>
      </c>
      <c r="N108" s="2"/>
      <c r="O108" s="2"/>
      <c r="P108" s="2"/>
      <c r="T108" s="2"/>
      <c r="U108" s="2"/>
      <c r="V108" s="2"/>
      <c r="W108" s="2"/>
      <c r="X108" s="2"/>
      <c r="AP108" s="2"/>
      <c r="AQ108" s="2"/>
      <c r="AR108" s="2"/>
      <c r="AS108" s="2"/>
      <c r="AT108" s="2"/>
      <c r="AU108" s="2"/>
      <c r="AV108" s="2"/>
      <c r="AW108" s="2"/>
      <c r="AX108" s="2"/>
      <c r="AY108" s="2"/>
      <c r="AZ108" s="2"/>
    </row>
    <row r="109" spans="14:52" ht="13.5" customHeight="1">
      <c r="N109" s="2"/>
      <c r="O109" s="2"/>
      <c r="P109" s="2"/>
      <c r="Q109" s="2"/>
      <c r="R109" s="2"/>
      <c r="S109" s="2"/>
      <c r="T109" s="2"/>
      <c r="U109" s="2"/>
      <c r="V109" s="2"/>
      <c r="W109" s="2"/>
      <c r="X109" s="2"/>
      <c r="AJ109" s="2"/>
      <c r="AK109" s="2"/>
      <c r="AP109" s="2"/>
      <c r="AQ109" s="2"/>
      <c r="AR109" s="2"/>
      <c r="AS109" s="2"/>
      <c r="AT109" s="2"/>
      <c r="AU109" s="2"/>
      <c r="AV109" s="2"/>
      <c r="AW109" s="2"/>
      <c r="AX109" s="2"/>
      <c r="AY109" s="2"/>
      <c r="AZ109" s="2"/>
    </row>
    <row r="110" spans="13:52" ht="13.5" customHeight="1">
      <c r="M110" s="2"/>
      <c r="N110" s="2"/>
      <c r="O110" s="2"/>
      <c r="P110" s="2"/>
      <c r="Q110" s="2"/>
      <c r="R110" s="2"/>
      <c r="S110" s="2"/>
      <c r="T110" s="2"/>
      <c r="U110" s="2"/>
      <c r="V110" s="2"/>
      <c r="W110" s="2"/>
      <c r="X110" s="2"/>
      <c r="AJ110" s="2"/>
      <c r="AK110" s="2"/>
      <c r="AP110" s="2"/>
      <c r="AQ110" s="2"/>
      <c r="AR110" s="2"/>
      <c r="AS110" s="2"/>
      <c r="AT110" s="2"/>
      <c r="AU110" s="2"/>
      <c r="AV110" s="2"/>
      <c r="AW110" s="2"/>
      <c r="AX110" s="2"/>
      <c r="AY110" s="2"/>
      <c r="AZ110" s="2"/>
    </row>
    <row r="111" spans="1:52" ht="13.5" customHeight="1">
      <c r="A111" s="2"/>
      <c r="N111" s="2"/>
      <c r="O111" s="2"/>
      <c r="P111" s="2"/>
      <c r="R111" s="2"/>
      <c r="S111" s="2"/>
      <c r="T111" s="2"/>
      <c r="U111" s="2"/>
      <c r="V111" s="2"/>
      <c r="W111" s="2"/>
      <c r="X111" s="2"/>
      <c r="AJ111" s="2"/>
      <c r="AK111" s="2"/>
      <c r="AL111" s="2"/>
      <c r="AM111" s="2"/>
      <c r="AN111" s="2"/>
      <c r="AO111" s="2"/>
      <c r="AP111" s="2"/>
      <c r="AQ111" s="2"/>
      <c r="AR111" s="2"/>
      <c r="AS111" s="2"/>
      <c r="AT111" s="2"/>
      <c r="AU111" s="2"/>
      <c r="AV111" s="2"/>
      <c r="AW111" s="2"/>
      <c r="AX111" s="2"/>
      <c r="AY111" s="2"/>
      <c r="AZ111" s="2"/>
    </row>
    <row r="112" spans="1:52" ht="13.5" customHeight="1">
      <c r="A112" s="2"/>
      <c r="B112" s="2"/>
      <c r="C112" s="2"/>
      <c r="M112" s="2"/>
      <c r="N112" s="2"/>
      <c r="O112" s="2"/>
      <c r="P112" s="2"/>
      <c r="R112" s="2"/>
      <c r="S112" s="2"/>
      <c r="T112" s="2"/>
      <c r="U112" s="2"/>
      <c r="V112" s="2"/>
      <c r="W112" s="2"/>
      <c r="X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row>
    <row r="113" spans="14:52" ht="13.5" customHeight="1">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row>
    <row r="114" spans="13:52" ht="13.5" customHeight="1">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row>
    <row r="115" spans="13:52" ht="13.5" customHeight="1">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row>
    <row r="116" spans="12:52" ht="13.5" customHeight="1">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row>
    <row r="117" spans="14:52" ht="13.5" customHeight="1">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row>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sheetData>
  <sheetProtection selectLockedCells="1" selectUnlockedCells="1"/>
  <mergeCells count="1">
    <mergeCell ref="T27:U27"/>
  </mergeCell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61"/>
  <dimension ref="A4:W39"/>
  <sheetViews>
    <sheetView showGridLines="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9.00390625" defaultRowHeight="13.5"/>
  <cols>
    <col min="1" max="1" width="3.375" style="0" customWidth="1"/>
    <col min="2" max="2" width="2.625" style="0" customWidth="1"/>
    <col min="3" max="3" width="7.25390625" style="0" customWidth="1"/>
    <col min="8" max="8" width="10.00390625" style="0" customWidth="1"/>
    <col min="9" max="9" width="9.625" style="0" customWidth="1"/>
    <col min="14" max="14" width="9.875" style="0" customWidth="1"/>
    <col min="36" max="36" width="11.875" style="0" customWidth="1"/>
    <col min="37" max="37" width="10.875" style="0" customWidth="1"/>
  </cols>
  <sheetData>
    <row r="4" ht="13.5">
      <c r="B4" t="s">
        <v>37</v>
      </c>
    </row>
    <row r="5" spans="3:15" ht="13.5">
      <c r="C5" s="106">
        <f>TicToc</f>
        <v>30.000591278076172</v>
      </c>
      <c r="D5" s="107">
        <f>'Econ 1'!U47</f>
        <v>825.6154535186706</v>
      </c>
      <c r="E5" s="107">
        <f>'Econ 1'!U72</f>
        <v>796.68101787188</v>
      </c>
      <c r="F5" s="107">
        <f>'Econ 2'!U47</f>
        <v>741.4927917698669</v>
      </c>
      <c r="G5" s="107">
        <f>'Econ 2'!U72</f>
        <v>771.7405966598983</v>
      </c>
      <c r="H5" s="108">
        <f>-Nu</f>
        <v>0.10223132445849425</v>
      </c>
      <c r="I5" s="109">
        <f>P0_1/P0_2</f>
        <v>1.1163326808967153</v>
      </c>
      <c r="J5" s="110">
        <f>'Econ 1'!AH51</f>
        <v>113.74034843063788</v>
      </c>
      <c r="K5" s="110">
        <f>'Econ 1'!AH45</f>
        <v>113.7356160864791</v>
      </c>
      <c r="L5" s="110">
        <f>'Econ 1'!AH46</f>
        <v>113.74052089428147</v>
      </c>
      <c r="M5" s="110">
        <f>'Econ 1'!AH48</f>
        <v>113.73852479922529</v>
      </c>
      <c r="N5" s="110">
        <f>GPE!G18</f>
        <v>107.72128060263655</v>
      </c>
      <c r="O5" s="111"/>
    </row>
    <row r="7" spans="1:15" ht="18.75">
      <c r="A7" t="s">
        <v>38</v>
      </c>
      <c r="C7" s="112" t="s">
        <v>39</v>
      </c>
      <c r="D7" s="113" t="s">
        <v>131</v>
      </c>
      <c r="E7" s="113" t="s">
        <v>132</v>
      </c>
      <c r="F7" s="113" t="s">
        <v>40</v>
      </c>
      <c r="G7" s="113" t="s">
        <v>41</v>
      </c>
      <c r="H7" s="372" t="s">
        <v>139</v>
      </c>
      <c r="I7" s="114" t="s">
        <v>130</v>
      </c>
      <c r="J7" s="114" t="s">
        <v>42</v>
      </c>
      <c r="K7" s="114" t="s">
        <v>43</v>
      </c>
      <c r="L7" s="114" t="s">
        <v>44</v>
      </c>
      <c r="M7" s="114" t="s">
        <v>45</v>
      </c>
      <c r="N7" s="114" t="s">
        <v>46</v>
      </c>
      <c r="O7" s="115"/>
    </row>
    <row r="8" spans="1:15" ht="13.5">
      <c r="A8" s="116">
        <v>0</v>
      </c>
      <c r="C8" s="117">
        <v>0</v>
      </c>
      <c r="D8" s="118">
        <v>764.028656559778</v>
      </c>
      <c r="E8" s="118">
        <v>846.4082833812581</v>
      </c>
      <c r="F8" s="118">
        <v>750</v>
      </c>
      <c r="G8" s="118">
        <v>754.4586323774425</v>
      </c>
      <c r="H8" s="119">
        <v>0.10458342938260246</v>
      </c>
      <c r="I8" s="120">
        <v>1.0958181485294727</v>
      </c>
      <c r="J8" s="118">
        <v>117.61196655231069</v>
      </c>
      <c r="K8" s="118">
        <v>115.7818666180473</v>
      </c>
      <c r="L8" s="118">
        <v>117.9475520082287</v>
      </c>
      <c r="M8" s="118">
        <v>117.94755200822696</v>
      </c>
      <c r="N8" s="118"/>
      <c r="O8" s="121"/>
    </row>
    <row r="9" spans="1:15" ht="13.5">
      <c r="A9" s="116">
        <f aca="true" t="shared" si="0" ref="A9:A38">1+A8</f>
        <v>1</v>
      </c>
      <c r="C9" s="117">
        <v>1.009999394416809</v>
      </c>
      <c r="D9" s="118">
        <v>812.4779926082829</v>
      </c>
      <c r="E9" s="118">
        <v>820.7106275758886</v>
      </c>
      <c r="F9" s="118">
        <v>736.2289054035873</v>
      </c>
      <c r="G9" s="118">
        <v>771.6683093641136</v>
      </c>
      <c r="H9" s="119">
        <v>0.10075927182068001</v>
      </c>
      <c r="I9" s="120">
        <v>0.6541905539719304</v>
      </c>
      <c r="J9" s="118">
        <v>85.84276644710098</v>
      </c>
      <c r="K9" s="118">
        <v>85.6043371255378</v>
      </c>
      <c r="L9" s="118">
        <v>86.10016473676494</v>
      </c>
      <c r="M9" s="118">
        <v>89.34312866588041</v>
      </c>
      <c r="N9" s="118"/>
      <c r="O9" s="121"/>
    </row>
    <row r="10" spans="1:15" ht="13.5">
      <c r="A10" s="116">
        <f t="shared" si="0"/>
        <v>2</v>
      </c>
      <c r="C10" s="117">
        <v>2.019998550415039</v>
      </c>
      <c r="D10" s="118">
        <v>818.3119700324733</v>
      </c>
      <c r="E10" s="118">
        <v>811.8077133415716</v>
      </c>
      <c r="F10" s="118">
        <v>736.3084438041378</v>
      </c>
      <c r="G10" s="118">
        <v>770.5348793137296</v>
      </c>
      <c r="H10" s="119">
        <v>0.10186623383309601</v>
      </c>
      <c r="I10" s="120">
        <v>0.7914133316631776</v>
      </c>
      <c r="J10" s="118">
        <v>95.80627912037286</v>
      </c>
      <c r="K10" s="118">
        <v>95.90264804922712</v>
      </c>
      <c r="L10" s="118">
        <v>95.77310520446537</v>
      </c>
      <c r="M10" s="118">
        <v>96.51701063537028</v>
      </c>
      <c r="N10" s="118"/>
      <c r="O10" s="121"/>
    </row>
    <row r="11" spans="1:15" ht="13.5">
      <c r="A11" s="116">
        <f t="shared" si="0"/>
        <v>3</v>
      </c>
      <c r="C11" s="117">
        <v>3.0299975872039795</v>
      </c>
      <c r="D11" s="118">
        <v>820.6153817957638</v>
      </c>
      <c r="E11" s="118">
        <v>807.0305215491849</v>
      </c>
      <c r="F11" s="118">
        <v>736.8451929598559</v>
      </c>
      <c r="G11" s="118">
        <v>770.7090060971126</v>
      </c>
      <c r="H11" s="119">
        <v>0.10233455098304778</v>
      </c>
      <c r="I11" s="120">
        <v>0.9049786187751216</v>
      </c>
      <c r="J11" s="118">
        <v>102.88912717813754</v>
      </c>
      <c r="K11" s="118">
        <v>102.98109309575872</v>
      </c>
      <c r="L11" s="118">
        <v>102.84655106479029</v>
      </c>
      <c r="M11" s="118">
        <v>102.25751332456285</v>
      </c>
      <c r="N11" s="118"/>
      <c r="O11" s="121"/>
    </row>
    <row r="12" spans="1:23" ht="15.75">
      <c r="A12" s="116">
        <f t="shared" si="0"/>
        <v>4</v>
      </c>
      <c r="C12" s="117">
        <v>4.039997577667236</v>
      </c>
      <c r="D12" s="118">
        <v>821.9884143186946</v>
      </c>
      <c r="E12" s="118">
        <v>803.8366616672225</v>
      </c>
      <c r="F12" s="118">
        <v>737.4018124779204</v>
      </c>
      <c r="G12" s="118">
        <v>771.2644255100563</v>
      </c>
      <c r="H12" s="119">
        <v>0.1023912351215126</v>
      </c>
      <c r="I12" s="120">
        <v>0.9713198298865559</v>
      </c>
      <c r="J12" s="118">
        <v>106.48390633975004</v>
      </c>
      <c r="K12" s="118">
        <v>106.5561325606788</v>
      </c>
      <c r="L12" s="118">
        <v>106.44171799189739</v>
      </c>
      <c r="M12" s="118">
        <v>105.74256496538555</v>
      </c>
      <c r="N12" s="118"/>
      <c r="O12" s="121"/>
      <c r="S12" s="1"/>
      <c r="T12" s="122" t="s">
        <v>47</v>
      </c>
      <c r="U12" s="123" t="s">
        <v>48</v>
      </c>
      <c r="V12" s="122" t="s">
        <v>116</v>
      </c>
      <c r="W12" s="123" t="s">
        <v>49</v>
      </c>
    </row>
    <row r="13" spans="1:23" ht="13.5">
      <c r="A13" s="116">
        <f t="shared" si="0"/>
        <v>5</v>
      </c>
      <c r="C13" s="117">
        <v>5.050020694732666</v>
      </c>
      <c r="D13" s="118">
        <v>822.8686593025404</v>
      </c>
      <c r="E13" s="118">
        <v>801.9118646189477</v>
      </c>
      <c r="F13" s="118">
        <v>738.0634289521759</v>
      </c>
      <c r="G13" s="118">
        <v>771.6213472911975</v>
      </c>
      <c r="H13" s="119">
        <v>0.10236582939179995</v>
      </c>
      <c r="I13" s="120">
        <v>1.0135167846033863</v>
      </c>
      <c r="J13" s="118">
        <v>108.59717621255315</v>
      </c>
      <c r="K13" s="118">
        <v>108.6475478078353</v>
      </c>
      <c r="L13" s="118">
        <v>108.5564999312942</v>
      </c>
      <c r="M13" s="118">
        <v>108.13169677848894</v>
      </c>
      <c r="N13" s="118"/>
      <c r="O13" s="121"/>
      <c r="S13" s="1"/>
      <c r="T13" s="124">
        <f>'Econ 1'!AD31</f>
        <v>565764.6910451149</v>
      </c>
      <c r="U13" s="124">
        <f>'Econ 1'!AK9</f>
        <v>5800</v>
      </c>
      <c r="V13" s="124">
        <f>'Econ 1'!AD30+'Econ 1'!AD31+'Econ 1'!AD32</f>
        <v>1288388.7013562052</v>
      </c>
      <c r="W13" s="124">
        <f>'Econ 1'!AH8+'Econ 1'!AH9+'Econ 1'!AH10</f>
        <v>10531.432834063413</v>
      </c>
    </row>
    <row r="14" spans="1:23" ht="13.5">
      <c r="A14" s="116">
        <f t="shared" si="0"/>
        <v>6</v>
      </c>
      <c r="C14" s="117">
        <v>6.060043811798096</v>
      </c>
      <c r="D14" s="118">
        <v>823.4796341298843</v>
      </c>
      <c r="E14" s="118">
        <v>800.7688876895356</v>
      </c>
      <c r="F14" s="118">
        <v>738.6535951049882</v>
      </c>
      <c r="G14" s="118">
        <v>771.7811365883264</v>
      </c>
      <c r="H14" s="119">
        <v>0.1023433038695416</v>
      </c>
      <c r="I14" s="120">
        <v>1.041504830577622</v>
      </c>
      <c r="J14" s="118">
        <v>109.95930379931744</v>
      </c>
      <c r="K14" s="118">
        <v>109.99142029488347</v>
      </c>
      <c r="L14" s="118">
        <v>109.92333290824926</v>
      </c>
      <c r="M14" s="118">
        <v>109.73709939590532</v>
      </c>
      <c r="N14" s="118"/>
      <c r="O14" s="121"/>
      <c r="S14" s="1"/>
      <c r="T14" s="125" t="s">
        <v>50</v>
      </c>
      <c r="U14" s="125" t="s">
        <v>50</v>
      </c>
      <c r="V14" s="1"/>
      <c r="W14" s="1"/>
    </row>
    <row r="15" spans="1:23" ht="15.75">
      <c r="A15" s="116">
        <f t="shared" si="0"/>
        <v>7</v>
      </c>
      <c r="C15" s="117">
        <v>7.070066928863525</v>
      </c>
      <c r="D15" s="118">
        <v>823.9256015873852</v>
      </c>
      <c r="E15" s="118">
        <v>800.0282897617433</v>
      </c>
      <c r="F15" s="118">
        <v>739.0934619648042</v>
      </c>
      <c r="G15" s="118">
        <v>771.8368819026955</v>
      </c>
      <c r="H15" s="119">
        <v>0.10233322822245983</v>
      </c>
      <c r="I15" s="120">
        <v>1.0608548135904057</v>
      </c>
      <c r="J15" s="118">
        <v>110.90267596120061</v>
      </c>
      <c r="K15" s="118">
        <v>110.9209604509988</v>
      </c>
      <c r="L15" s="118">
        <v>110.87373235723759</v>
      </c>
      <c r="M15" s="118">
        <v>110.81047566542749</v>
      </c>
      <c r="N15" s="118"/>
      <c r="O15" s="121"/>
      <c r="S15" s="123" t="s">
        <v>51</v>
      </c>
      <c r="T15" s="126" t="s">
        <v>52</v>
      </c>
      <c r="U15" s="126" t="s">
        <v>53</v>
      </c>
      <c r="V15" s="126" t="s">
        <v>54</v>
      </c>
      <c r="W15" s="126" t="s">
        <v>55</v>
      </c>
    </row>
    <row r="16" spans="1:23" ht="13.5">
      <c r="A16" s="116">
        <f t="shared" si="0"/>
        <v>8</v>
      </c>
      <c r="C16" s="117">
        <v>8.080089569091797</v>
      </c>
      <c r="D16" s="118">
        <v>824.2644897508753</v>
      </c>
      <c r="E16" s="118">
        <v>799.4825620518272</v>
      </c>
      <c r="F16" s="118">
        <v>739.3982920779417</v>
      </c>
      <c r="G16" s="118">
        <v>771.8520814935817</v>
      </c>
      <c r="H16" s="119">
        <v>0.10232932470569467</v>
      </c>
      <c r="I16" s="120">
        <v>1.0749397648256969</v>
      </c>
      <c r="J16" s="118">
        <v>111.59825324689336</v>
      </c>
      <c r="K16" s="118">
        <v>111.60624868182762</v>
      </c>
      <c r="L16" s="118">
        <v>111.57674962501945</v>
      </c>
      <c r="M16" s="118">
        <v>111.56262598510392</v>
      </c>
      <c r="N16" s="118"/>
      <c r="O16" s="121"/>
      <c r="S16" s="1">
        <v>700</v>
      </c>
      <c r="T16" s="127">
        <v>106.64266640111373</v>
      </c>
      <c r="U16" s="127">
        <v>108.20083331062207</v>
      </c>
      <c r="V16" s="127">
        <f aca="true" t="shared" si="1" ref="V16:V36">$T$13/($U$13-S16)</f>
        <v>110.93425314610096</v>
      </c>
      <c r="W16" s="127">
        <f aca="true" t="shared" si="2" ref="W16:W36">$V$13/($W$13+S16)</f>
        <v>114.7127637578615</v>
      </c>
    </row>
    <row r="17" spans="1:23" ht="13.5">
      <c r="A17" s="116">
        <f t="shared" si="0"/>
        <v>9</v>
      </c>
      <c r="C17" s="117">
        <v>9.090112686157227</v>
      </c>
      <c r="D17" s="118">
        <v>824.5291419838168</v>
      </c>
      <c r="E17" s="118">
        <v>799.0453736891767</v>
      </c>
      <c r="F17" s="118">
        <v>739.6122486927634</v>
      </c>
      <c r="G17" s="118">
        <v>771.853049694484</v>
      </c>
      <c r="H17" s="119">
        <v>0.10232711861580213</v>
      </c>
      <c r="I17" s="120">
        <v>1.085639792335124</v>
      </c>
      <c r="J17" s="118">
        <v>112.13403777091504</v>
      </c>
      <c r="K17" s="118">
        <v>112.13442901890501</v>
      </c>
      <c r="L17" s="118">
        <v>112.1190238658377</v>
      </c>
      <c r="M17" s="118">
        <v>112.12417025247606</v>
      </c>
      <c r="N17" s="118"/>
      <c r="O17" s="121"/>
      <c r="S17" s="1">
        <f>10+S16</f>
        <v>710</v>
      </c>
      <c r="T17" s="127">
        <v>106.85665774604999</v>
      </c>
      <c r="U17" s="127">
        <v>108.10458149387613</v>
      </c>
      <c r="V17" s="127">
        <f t="shared" si="1"/>
        <v>111.15219863361786</v>
      </c>
      <c r="W17" s="127">
        <f t="shared" si="2"/>
        <v>114.61071914713335</v>
      </c>
    </row>
    <row r="18" spans="1:23" ht="13.5">
      <c r="A18" s="116">
        <f t="shared" si="0"/>
        <v>10</v>
      </c>
      <c r="C18" s="117">
        <v>10.100135803222656</v>
      </c>
      <c r="D18" s="118">
        <v>824.7381812218255</v>
      </c>
      <c r="E18" s="118">
        <v>798.686211252855</v>
      </c>
      <c r="F18" s="118">
        <v>739.7727657340565</v>
      </c>
      <c r="G18" s="118">
        <v>771.8473575084327</v>
      </c>
      <c r="H18" s="119">
        <v>0.1023250797625519</v>
      </c>
      <c r="I18" s="120">
        <v>1.0939136791296977</v>
      </c>
      <c r="J18" s="118">
        <v>112.55364590234412</v>
      </c>
      <c r="K18" s="118">
        <v>112.54854397460905</v>
      </c>
      <c r="L18" s="118">
        <v>112.54368488883243</v>
      </c>
      <c r="M18" s="118">
        <v>112.55869897159963</v>
      </c>
      <c r="N18" s="118"/>
      <c r="O18" s="121"/>
      <c r="S18" s="1">
        <f aca="true" t="shared" si="3" ref="S18:S36">10+S17</f>
        <v>720</v>
      </c>
      <c r="T18" s="127">
        <v>107.07150961651068</v>
      </c>
      <c r="U18" s="127">
        <v>108.00850076968018</v>
      </c>
      <c r="V18" s="127">
        <f t="shared" si="1"/>
        <v>111.37100217423522</v>
      </c>
      <c r="W18" s="127">
        <f t="shared" si="2"/>
        <v>114.50885592594418</v>
      </c>
    </row>
    <row r="19" spans="1:23" ht="13.5">
      <c r="A19" s="116">
        <f t="shared" si="0"/>
        <v>11</v>
      </c>
      <c r="C19" s="117">
        <v>11.110158920288086</v>
      </c>
      <c r="D19" s="118">
        <v>824.9033967030164</v>
      </c>
      <c r="E19" s="118">
        <v>798.3912893069647</v>
      </c>
      <c r="F19" s="118">
        <v>739.9034434842652</v>
      </c>
      <c r="G19" s="118">
        <v>771.8370790519655</v>
      </c>
      <c r="H19" s="119">
        <v>0.10232278752119583</v>
      </c>
      <c r="I19" s="120">
        <v>1.1002773066036295</v>
      </c>
      <c r="J19" s="118">
        <v>112.88038164178047</v>
      </c>
      <c r="K19" s="118">
        <v>112.87148889168034</v>
      </c>
      <c r="L19" s="118">
        <v>112.87410445787432</v>
      </c>
      <c r="M19" s="118">
        <v>112.89510483517532</v>
      </c>
      <c r="N19" s="118"/>
      <c r="O19" s="121"/>
      <c r="S19" s="1">
        <f t="shared" si="3"/>
        <v>730</v>
      </c>
      <c r="T19" s="127">
        <v>107.2872272136132</v>
      </c>
      <c r="U19" s="127">
        <v>107.91259068225065</v>
      </c>
      <c r="V19" s="127">
        <f t="shared" si="1"/>
        <v>111.59066884519031</v>
      </c>
      <c r="W19" s="127">
        <f t="shared" si="2"/>
        <v>114.40717361107961</v>
      </c>
    </row>
    <row r="20" spans="1:23" ht="13.5">
      <c r="A20" s="116">
        <f t="shared" si="0"/>
        <v>12</v>
      </c>
      <c r="C20" s="117">
        <v>12.120182037353516</v>
      </c>
      <c r="D20" s="118">
        <v>825.0336594548398</v>
      </c>
      <c r="E20" s="118">
        <v>798.1493981536998</v>
      </c>
      <c r="F20" s="118">
        <v>740.0176867239352</v>
      </c>
      <c r="G20" s="118">
        <v>771.8237032879395</v>
      </c>
      <c r="H20" s="119">
        <v>0.10232000302288968</v>
      </c>
      <c r="I20" s="120">
        <v>1.105086854477224</v>
      </c>
      <c r="J20" s="118">
        <v>113.13043560097611</v>
      </c>
      <c r="K20" s="118">
        <v>113.11910945269658</v>
      </c>
      <c r="L20" s="118">
        <v>113.1267415039817</v>
      </c>
      <c r="M20" s="118">
        <v>113.15056747560618</v>
      </c>
      <c r="N20" s="118"/>
      <c r="O20" s="121"/>
      <c r="S20" s="1">
        <f t="shared" si="3"/>
        <v>740</v>
      </c>
      <c r="T20" s="127">
        <v>107.50381578047451</v>
      </c>
      <c r="U20" s="127">
        <v>107.81685077742141</v>
      </c>
      <c r="V20" s="127">
        <f t="shared" si="1"/>
        <v>111.8112037638567</v>
      </c>
      <c r="W20" s="127">
        <f t="shared" si="2"/>
        <v>114.3056717210401</v>
      </c>
    </row>
    <row r="21" spans="1:23" ht="13.5">
      <c r="A21" s="116">
        <f t="shared" si="0"/>
        <v>13</v>
      </c>
      <c r="C21" s="117">
        <v>13.130205154418945</v>
      </c>
      <c r="D21" s="118">
        <v>825.1363297618091</v>
      </c>
      <c r="E21" s="118">
        <v>797.9497631302962</v>
      </c>
      <c r="F21" s="118">
        <v>740.1230306286243</v>
      </c>
      <c r="G21" s="118">
        <v>771.8088682257167</v>
      </c>
      <c r="H21" s="119">
        <v>0.10231654048569716</v>
      </c>
      <c r="I21" s="120">
        <v>1.1086472413344741</v>
      </c>
      <c r="J21" s="118">
        <v>113.31791676500394</v>
      </c>
      <c r="K21" s="118">
        <v>113.30520399163225</v>
      </c>
      <c r="L21" s="118">
        <v>113.31598282826157</v>
      </c>
      <c r="M21" s="118">
        <v>113.33983535078302</v>
      </c>
      <c r="N21" s="118"/>
      <c r="O21" s="121"/>
      <c r="S21" s="1">
        <f t="shared" si="3"/>
        <v>750</v>
      </c>
      <c r="T21" s="127">
        <v>107.72128060263584</v>
      </c>
      <c r="U21" s="127">
        <v>107.72128060263663</v>
      </c>
      <c r="V21" s="127">
        <f t="shared" si="1"/>
        <v>112.03261208814156</v>
      </c>
      <c r="W21" s="127">
        <f t="shared" si="2"/>
        <v>114.20434977603334</v>
      </c>
    </row>
    <row r="22" spans="1:23" ht="13.5">
      <c r="A22" s="116">
        <f t="shared" si="0"/>
        <v>14</v>
      </c>
      <c r="C22" s="117">
        <v>14.140228271484375</v>
      </c>
      <c r="D22" s="118">
        <v>825.2175496309364</v>
      </c>
      <c r="E22" s="118">
        <v>797.7829441077437</v>
      </c>
      <c r="F22" s="118">
        <v>740.2237272324464</v>
      </c>
      <c r="G22" s="118">
        <v>771.7940365827228</v>
      </c>
      <c r="H22" s="119">
        <v>0.10231233110048699</v>
      </c>
      <c r="I22" s="120">
        <v>1.111230292729969</v>
      </c>
      <c r="J22" s="118">
        <v>113.45569093438945</v>
      </c>
      <c r="K22" s="118">
        <v>113.44236651780956</v>
      </c>
      <c r="L22" s="118">
        <v>113.45492016218391</v>
      </c>
      <c r="M22" s="118">
        <v>113.47678365984956</v>
      </c>
      <c r="N22" s="118"/>
      <c r="O22" s="121"/>
      <c r="S22" s="1">
        <f t="shared" si="3"/>
        <v>760</v>
      </c>
      <c r="T22" s="127">
        <v>107.93962700849266</v>
      </c>
      <c r="U22" s="127">
        <v>107.62587970694368</v>
      </c>
      <c r="V22" s="127">
        <f t="shared" si="1"/>
        <v>112.25489901688788</v>
      </c>
      <c r="W22" s="127">
        <f t="shared" si="2"/>
        <v>114.10320729796669</v>
      </c>
    </row>
    <row r="23" spans="1:23" ht="13.5">
      <c r="A23" s="116">
        <f t="shared" si="0"/>
        <v>15</v>
      </c>
      <c r="C23" s="117">
        <v>15.150251388549805</v>
      </c>
      <c r="D23" s="118">
        <v>825.2822935903432</v>
      </c>
      <c r="E23" s="118">
        <v>797.6414375002698</v>
      </c>
      <c r="F23" s="118">
        <v>740.3220454644634</v>
      </c>
      <c r="G23" s="118">
        <v>771.7802555776732</v>
      </c>
      <c r="H23" s="119">
        <v>0.10230743373009843</v>
      </c>
      <c r="I23" s="120">
        <v>1.113068153899089</v>
      </c>
      <c r="J23" s="118">
        <v>113.55500127577263</v>
      </c>
      <c r="K23" s="118">
        <v>113.54161501392744</v>
      </c>
      <c r="L23" s="118">
        <v>113.55496745861765</v>
      </c>
      <c r="M23" s="118">
        <v>113.57371725518405</v>
      </c>
      <c r="N23" s="118"/>
      <c r="O23" s="121"/>
      <c r="S23" s="1">
        <f t="shared" si="3"/>
        <v>770</v>
      </c>
      <c r="T23" s="127">
        <v>108.15886036972996</v>
      </c>
      <c r="U23" s="127">
        <v>107.53064764098603</v>
      </c>
      <c r="V23" s="127">
        <f t="shared" si="1"/>
        <v>112.4780697902813</v>
      </c>
      <c r="W23" s="127">
        <f t="shared" si="2"/>
        <v>114.00224381043965</v>
      </c>
    </row>
    <row r="24" spans="1:23" ht="13.5">
      <c r="A24" s="116">
        <f t="shared" si="0"/>
        <v>16</v>
      </c>
      <c r="C24" s="117">
        <v>16.160274505615234</v>
      </c>
      <c r="D24" s="118">
        <v>825.3344725681545</v>
      </c>
      <c r="E24" s="118">
        <v>797.51959257057</v>
      </c>
      <c r="F24" s="118">
        <v>740.4189900845467</v>
      </c>
      <c r="G24" s="118">
        <v>771.7681403675207</v>
      </c>
      <c r="H24" s="119">
        <v>0.10230198992829376</v>
      </c>
      <c r="I24" s="120">
        <v>1.1143493461234684</v>
      </c>
      <c r="J24" s="118">
        <v>113.62517520583559</v>
      </c>
      <c r="K24" s="118">
        <v>113.61209934921193</v>
      </c>
      <c r="L24" s="118">
        <v>113.625579295643</v>
      </c>
      <c r="M24" s="118">
        <v>113.64080415563095</v>
      </c>
      <c r="N24" s="118"/>
      <c r="O24" s="121"/>
      <c r="S24" s="1">
        <f t="shared" si="3"/>
        <v>780</v>
      </c>
      <c r="T24" s="127">
        <v>108.37898610176264</v>
      </c>
      <c r="U24" s="127">
        <v>107.43558395699618</v>
      </c>
      <c r="V24" s="127">
        <f t="shared" si="1"/>
        <v>112.70212969026193</v>
      </c>
      <c r="W24" s="127">
        <f t="shared" si="2"/>
        <v>113.90145883873639</v>
      </c>
    </row>
    <row r="25" spans="1:23" ht="13.5">
      <c r="A25" s="116">
        <f t="shared" si="0"/>
        <v>17</v>
      </c>
      <c r="C25" s="117">
        <v>17.170297622680664</v>
      </c>
      <c r="D25" s="118">
        <v>825.3771009576813</v>
      </c>
      <c r="E25" s="118">
        <v>797.4132252925049</v>
      </c>
      <c r="F25" s="118">
        <v>740.5147832840103</v>
      </c>
      <c r="G25" s="118">
        <v>771.7579662077064</v>
      </c>
      <c r="H25" s="119">
        <v>0.10229617100482247</v>
      </c>
      <c r="I25" s="120">
        <v>1.11522154372678</v>
      </c>
      <c r="J25" s="118">
        <v>113.67365774354258</v>
      </c>
      <c r="K25" s="118">
        <v>113.66112994795274</v>
      </c>
      <c r="L25" s="118">
        <v>113.67429506443212</v>
      </c>
      <c r="M25" s="118">
        <v>113.68604885858238</v>
      </c>
      <c r="N25" s="118"/>
      <c r="O25" s="121"/>
      <c r="S25" s="1">
        <f t="shared" si="3"/>
        <v>790</v>
      </c>
      <c r="T25" s="127">
        <v>108.60000966418153</v>
      </c>
      <c r="U25" s="127">
        <v>107.34068820878863</v>
      </c>
      <c r="V25" s="127">
        <f t="shared" si="1"/>
        <v>112.9270840409411</v>
      </c>
      <c r="W25" s="127">
        <f t="shared" si="2"/>
        <v>113.80085190981832</v>
      </c>
    </row>
    <row r="26" spans="1:23" ht="13.5">
      <c r="A26" s="116">
        <f t="shared" si="0"/>
        <v>18</v>
      </c>
      <c r="C26" s="117">
        <v>18.180320739746094</v>
      </c>
      <c r="D26" s="118">
        <v>825.4124749903203</v>
      </c>
      <c r="E26" s="118">
        <v>797.3192269104476</v>
      </c>
      <c r="F26" s="118">
        <v>740.6092098313711</v>
      </c>
      <c r="G26" s="118">
        <v>771.7497762414513</v>
      </c>
      <c r="H26" s="119">
        <v>0.10229014212572385</v>
      </c>
      <c r="I26" s="120">
        <v>1.1157978593755793</v>
      </c>
      <c r="J26" s="118">
        <v>113.70624388337401</v>
      </c>
      <c r="K26" s="118">
        <v>113.69440301480843</v>
      </c>
      <c r="L26" s="118">
        <v>113.70697910148112</v>
      </c>
      <c r="M26" s="118">
        <v>113.71557642457128</v>
      </c>
      <c r="N26" s="118"/>
      <c r="O26" s="121"/>
      <c r="S26" s="1">
        <f t="shared" si="3"/>
        <v>800</v>
      </c>
      <c r="T26" s="127">
        <v>108.82193656120467</v>
      </c>
      <c r="U26" s="127">
        <v>107.24595995175294</v>
      </c>
      <c r="V26" s="127">
        <f t="shared" si="1"/>
        <v>113.15293820902298</v>
      </c>
      <c r="W26" s="127">
        <f t="shared" si="2"/>
        <v>113.70042255231667</v>
      </c>
    </row>
    <row r="27" spans="1:23" ht="13.5">
      <c r="A27" s="116">
        <f t="shared" si="0"/>
        <v>19</v>
      </c>
      <c r="C27" s="117">
        <v>19.190343856811523</v>
      </c>
      <c r="D27" s="118">
        <v>825.4423297122376</v>
      </c>
      <c r="E27" s="118">
        <v>797.235266316377</v>
      </c>
      <c r="F27" s="118">
        <v>740.7018519357525</v>
      </c>
      <c r="G27" s="118">
        <v>771.7434690866529</v>
      </c>
      <c r="H27" s="119">
        <v>0.10228404523731016</v>
      </c>
      <c r="I27" s="120">
        <v>1.1161636387190017</v>
      </c>
      <c r="J27" s="118">
        <v>113.72736720254127</v>
      </c>
      <c r="K27" s="118">
        <v>113.71628178684128</v>
      </c>
      <c r="L27" s="118">
        <v>113.72811496217226</v>
      </c>
      <c r="M27" s="118">
        <v>113.73399308252321</v>
      </c>
      <c r="N27" s="118"/>
      <c r="O27" s="121"/>
      <c r="S27" s="1">
        <f t="shared" si="3"/>
        <v>810</v>
      </c>
      <c r="T27" s="127">
        <v>109.04477234213432</v>
      </c>
      <c r="U27" s="127">
        <v>107.15139874284674</v>
      </c>
      <c r="V27" s="127">
        <f t="shared" si="1"/>
        <v>113.37969760423144</v>
      </c>
      <c r="W27" s="127">
        <f t="shared" si="2"/>
        <v>113.6001702965251</v>
      </c>
    </row>
    <row r="28" spans="1:23" ht="13.5">
      <c r="A28" s="116">
        <f t="shared" si="0"/>
        <v>20</v>
      </c>
      <c r="C28" s="117">
        <v>20.200366973876953</v>
      </c>
      <c r="D28" s="118">
        <v>825.4679662831968</v>
      </c>
      <c r="E28" s="118">
        <v>797.1595821338295</v>
      </c>
      <c r="F28" s="118">
        <v>740.7922350071121</v>
      </c>
      <c r="G28" s="118">
        <v>771.7388616017059</v>
      </c>
      <c r="H28" s="119">
        <v>0.10227799418472694</v>
      </c>
      <c r="I28" s="120">
        <v>1.1163824404969491</v>
      </c>
      <c r="J28" s="118">
        <v>113.74037132725337</v>
      </c>
      <c r="K28" s="118">
        <v>113.73006144871901</v>
      </c>
      <c r="L28" s="118">
        <v>113.74108136980813</v>
      </c>
      <c r="M28" s="118">
        <v>113.74471467985045</v>
      </c>
      <c r="N28" s="118"/>
      <c r="O28" s="121"/>
      <c r="S28" s="1">
        <f t="shared" si="3"/>
        <v>820</v>
      </c>
      <c r="T28" s="127">
        <v>109.26852260181943</v>
      </c>
      <c r="U28" s="127">
        <v>107.05700414058884</v>
      </c>
      <c r="V28" s="127">
        <f t="shared" si="1"/>
        <v>113.60736767974194</v>
      </c>
      <c r="W28" s="127">
        <f t="shared" si="2"/>
        <v>113.50009467439251</v>
      </c>
    </row>
    <row r="29" spans="1:23" ht="13.5">
      <c r="A29" s="116">
        <f t="shared" si="0"/>
        <v>21</v>
      </c>
      <c r="C29" s="117">
        <v>21.210390090942383</v>
      </c>
      <c r="D29" s="118">
        <v>825.4903526967191</v>
      </c>
      <c r="E29" s="118">
        <v>797.090836199787</v>
      </c>
      <c r="F29" s="118">
        <v>740.8799094527103</v>
      </c>
      <c r="G29" s="118">
        <v>771.7357317050829</v>
      </c>
      <c r="H29" s="119">
        <v>0.10227207578543629</v>
      </c>
      <c r="I29" s="120">
        <v>1.116500941812775</v>
      </c>
      <c r="J29" s="118">
        <v>113.74774196929063</v>
      </c>
      <c r="K29" s="118">
        <v>113.73819570734967</v>
      </c>
      <c r="L29" s="118">
        <v>113.74838792473372</v>
      </c>
      <c r="M29" s="118">
        <v>113.75023716000395</v>
      </c>
      <c r="N29" s="118"/>
      <c r="O29" s="121"/>
      <c r="S29" s="1">
        <f t="shared" si="3"/>
        <v>830</v>
      </c>
      <c r="T29" s="127">
        <v>109.49319298112391</v>
      </c>
      <c r="U29" s="127">
        <v>106.96277570505244</v>
      </c>
      <c r="V29" s="127">
        <f t="shared" si="1"/>
        <v>113.8359539326187</v>
      </c>
      <c r="W29" s="127">
        <f t="shared" si="2"/>
        <v>113.40019521951558</v>
      </c>
    </row>
    <row r="30" spans="1:23" ht="13.5">
      <c r="A30" s="116">
        <f t="shared" si="0"/>
        <v>22</v>
      </c>
      <c r="C30" s="117">
        <v>22.220413208007812</v>
      </c>
      <c r="D30" s="118">
        <v>825.5102032507493</v>
      </c>
      <c r="E30" s="118">
        <v>797.0280062167542</v>
      </c>
      <c r="F30" s="118">
        <v>740.9644913020402</v>
      </c>
      <c r="G30" s="118">
        <v>771.7338467332946</v>
      </c>
      <c r="H30" s="119">
        <v>0.1022663531875656</v>
      </c>
      <c r="I30" s="120">
        <v>1.1165528837561627</v>
      </c>
      <c r="J30" s="118">
        <v>113.75129873760963</v>
      </c>
      <c r="K30" s="118">
        <v>113.74248421061124</v>
      </c>
      <c r="L30" s="118">
        <v>113.75186989022171</v>
      </c>
      <c r="M30" s="118">
        <v>113.7523535940824</v>
      </c>
      <c r="N30" s="118"/>
      <c r="O30" s="121"/>
      <c r="S30" s="1">
        <f t="shared" si="3"/>
        <v>840</v>
      </c>
      <c r="T30" s="127">
        <v>109.71878916740069</v>
      </c>
      <c r="U30" s="127">
        <v>106.8687129978581</v>
      </c>
      <c r="V30" s="127">
        <f t="shared" si="1"/>
        <v>114.06546190425703</v>
      </c>
      <c r="W30" s="127">
        <f t="shared" si="2"/>
        <v>113.3004714671316</v>
      </c>
    </row>
    <row r="31" spans="1:23" ht="13.5">
      <c r="A31" s="116">
        <f t="shared" si="0"/>
        <v>23</v>
      </c>
      <c r="C31" s="117">
        <v>23.230436325073242</v>
      </c>
      <c r="D31" s="118">
        <v>825.528041163644</v>
      </c>
      <c r="E31" s="118">
        <v>796.9703048963951</v>
      </c>
      <c r="F31" s="118">
        <v>741.0456782996289</v>
      </c>
      <c r="G31" s="118">
        <v>771.732981482542</v>
      </c>
      <c r="H31" s="119">
        <v>0.10226086980930771</v>
      </c>
      <c r="I31" s="120">
        <v>1.1165622237021635</v>
      </c>
      <c r="J31" s="118">
        <v>113.75235136154882</v>
      </c>
      <c r="K31" s="118">
        <v>113.74422532643158</v>
      </c>
      <c r="L31" s="118">
        <v>113.75284675612741</v>
      </c>
      <c r="M31" s="118">
        <v>113.75232725505087</v>
      </c>
      <c r="N31" s="118"/>
      <c r="O31" s="121"/>
      <c r="S31" s="1">
        <f t="shared" si="3"/>
        <v>850</v>
      </c>
      <c r="T31" s="127">
        <v>109.9453168949716</v>
      </c>
      <c r="U31" s="127">
        <v>106.77481558216716</v>
      </c>
      <c r="V31" s="127">
        <f t="shared" si="1"/>
        <v>114.29589718083129</v>
      </c>
      <c r="W31" s="127">
        <f t="shared" si="2"/>
        <v>113.2009229541113</v>
      </c>
    </row>
    <row r="32" spans="1:23" ht="13.5">
      <c r="A32" s="116">
        <f t="shared" si="0"/>
        <v>24</v>
      </c>
      <c r="C32" s="117">
        <v>24.240459442138672</v>
      </c>
      <c r="D32" s="118">
        <v>825.5442475661976</v>
      </c>
      <c r="E32" s="118">
        <v>796.9171186713896</v>
      </c>
      <c r="F32" s="118">
        <v>741.1232521310758</v>
      </c>
      <c r="G32" s="118">
        <v>771.7329289083776</v>
      </c>
      <c r="H32" s="119">
        <v>0.10225565316653618</v>
      </c>
      <c r="I32" s="120">
        <v>1.1165456306039172</v>
      </c>
      <c r="J32" s="118">
        <v>113.75182522634847</v>
      </c>
      <c r="K32" s="118">
        <v>113.74433903870985</v>
      </c>
      <c r="L32" s="118">
        <v>113.75224956324745</v>
      </c>
      <c r="M32" s="118">
        <v>113.75102849980377</v>
      </c>
      <c r="N32" s="118"/>
      <c r="O32" s="121"/>
      <c r="S32" s="1">
        <f t="shared" si="3"/>
        <v>860</v>
      </c>
      <c r="T32" s="127">
        <v>110.17278194561325</v>
      </c>
      <c r="U32" s="127">
        <v>106.68108302267484</v>
      </c>
      <c r="V32" s="127">
        <f t="shared" si="1"/>
        <v>114.52726539374795</v>
      </c>
      <c r="W32" s="127">
        <f t="shared" si="2"/>
        <v>113.10154921895166</v>
      </c>
    </row>
    <row r="33" spans="1:23" ht="13.5">
      <c r="A33" s="116">
        <f t="shared" si="0"/>
        <v>25</v>
      </c>
      <c r="C33" s="117">
        <v>25.2504825592041</v>
      </c>
      <c r="D33" s="118">
        <v>825.559099378811</v>
      </c>
      <c r="E33" s="118">
        <v>796.8679615876805</v>
      </c>
      <c r="F33" s="118">
        <v>741.1970731954416</v>
      </c>
      <c r="G33" s="118">
        <v>771.7335056732063</v>
      </c>
      <c r="H33" s="119">
        <v>0.10225071832044486</v>
      </c>
      <c r="I33" s="120">
        <v>1.1165144327855385</v>
      </c>
      <c r="J33" s="118">
        <v>113.75036065467968</v>
      </c>
      <c r="K33" s="118">
        <v>113.74346425112257</v>
      </c>
      <c r="L33" s="118">
        <v>113.75072151789588</v>
      </c>
      <c r="M33" s="118">
        <v>113.74904149335389</v>
      </c>
      <c r="N33" s="118"/>
      <c r="O33" s="121"/>
      <c r="S33" s="1">
        <f t="shared" si="3"/>
        <v>870</v>
      </c>
      <c r="T33" s="127">
        <v>110.401190149049</v>
      </c>
      <c r="U33" s="127">
        <v>106.58751488560354</v>
      </c>
      <c r="V33" s="127">
        <f t="shared" si="1"/>
        <v>114.75957222010445</v>
      </c>
      <c r="W33" s="127">
        <f t="shared" si="2"/>
        <v>113.00234980176873</v>
      </c>
    </row>
    <row r="34" spans="1:23" ht="13.5">
      <c r="A34" s="116">
        <f t="shared" si="0"/>
        <v>26</v>
      </c>
      <c r="C34" s="117">
        <v>26.26050567626953</v>
      </c>
      <c r="D34" s="118">
        <v>825.5727981743257</v>
      </c>
      <c r="E34" s="118">
        <v>796.8224410522083</v>
      </c>
      <c r="F34" s="118">
        <v>741.2670717079645</v>
      </c>
      <c r="G34" s="118">
        <v>771.7345541827623</v>
      </c>
      <c r="H34" s="119">
        <v>0.10224607084739334</v>
      </c>
      <c r="I34" s="120">
        <v>1.1164761134003132</v>
      </c>
      <c r="J34" s="118">
        <v>113.74839007109597</v>
      </c>
      <c r="K34" s="118">
        <v>113.74203450422617</v>
      </c>
      <c r="L34" s="118">
        <v>113.74869612723691</v>
      </c>
      <c r="M34" s="118">
        <v>113.74674595226807</v>
      </c>
      <c r="N34" s="118"/>
      <c r="O34" s="121"/>
      <c r="S34" s="1">
        <f t="shared" si="3"/>
        <v>880</v>
      </c>
      <c r="T34" s="127">
        <v>110.63054738344687</v>
      </c>
      <c r="U34" s="127">
        <v>106.49411073869621</v>
      </c>
      <c r="V34" s="127">
        <f t="shared" si="1"/>
        <v>114.99282338315344</v>
      </c>
      <c r="W34" s="127">
        <f t="shared" si="2"/>
        <v>112.90332424429057</v>
      </c>
    </row>
    <row r="35" spans="1:23" ht="13.5">
      <c r="A35" s="116">
        <f t="shared" si="0"/>
        <v>27</v>
      </c>
      <c r="C35" s="117">
        <v>27.27052879333496</v>
      </c>
      <c r="D35" s="118">
        <v>825.5854918352497</v>
      </c>
      <c r="E35" s="118">
        <v>796.7802327206244</v>
      </c>
      <c r="F35" s="118">
        <v>741.3332373646144</v>
      </c>
      <c r="G35" s="118">
        <v>771.7359423323277</v>
      </c>
      <c r="H35" s="119">
        <v>0.1022417093122503</v>
      </c>
      <c r="I35" s="120">
        <v>1.1164354390954683</v>
      </c>
      <c r="J35" s="118">
        <v>113.74619693869438</v>
      </c>
      <c r="K35" s="118">
        <v>113.7403358795283</v>
      </c>
      <c r="L35" s="118">
        <v>113.74645682674512</v>
      </c>
      <c r="M35" s="118">
        <v>113.7443785898867</v>
      </c>
      <c r="N35" s="118"/>
      <c r="O35" s="121"/>
      <c r="S35" s="1">
        <f t="shared" si="3"/>
        <v>890</v>
      </c>
      <c r="T35" s="127">
        <v>110.86085957592394</v>
      </c>
      <c r="U35" s="127">
        <v>106.4008701512096</v>
      </c>
      <c r="V35" s="127">
        <f t="shared" si="1"/>
        <v>115.22702465277288</v>
      </c>
      <c r="W35" s="127">
        <f t="shared" si="2"/>
        <v>112.80447208985022</v>
      </c>
    </row>
    <row r="36" spans="1:23" ht="13.5">
      <c r="A36" s="116">
        <f t="shared" si="0"/>
        <v>28</v>
      </c>
      <c r="C36" s="117">
        <v>28.28055191040039</v>
      </c>
      <c r="D36" s="118">
        <v>825.5972905481876</v>
      </c>
      <c r="E36" s="118">
        <v>796.741062313732</v>
      </c>
      <c r="F36" s="118">
        <v>741.3956088724972</v>
      </c>
      <c r="G36" s="118">
        <v>771.7375618515817</v>
      </c>
      <c r="H36" s="119">
        <v>0.10223762727036911</v>
      </c>
      <c r="I36" s="120">
        <v>1.116395297498351</v>
      </c>
      <c r="J36" s="118">
        <v>113.74396001539478</v>
      </c>
      <c r="K36" s="118">
        <v>113.73855053999567</v>
      </c>
      <c r="L36" s="118">
        <v>113.74418171529341</v>
      </c>
      <c r="M36" s="118">
        <v>113.74207844446778</v>
      </c>
      <c r="N36" s="118"/>
      <c r="O36" s="121"/>
      <c r="S36" s="1">
        <f t="shared" si="3"/>
        <v>900</v>
      </c>
      <c r="T36" s="127">
        <v>111.09213270305683</v>
      </c>
      <c r="U36" s="127">
        <v>106.3077926939077</v>
      </c>
      <c r="V36" s="127">
        <f t="shared" si="1"/>
        <v>115.46218184594181</v>
      </c>
      <c r="W36" s="127">
        <f t="shared" si="2"/>
        <v>112.70579288337865</v>
      </c>
    </row>
    <row r="37" spans="1:15" ht="13.5">
      <c r="A37" s="116">
        <f t="shared" si="0"/>
        <v>29</v>
      </c>
      <c r="C37" s="117">
        <v>29.29057502746582</v>
      </c>
      <c r="D37" s="118">
        <v>825.6082784221744</v>
      </c>
      <c r="E37" s="118">
        <v>796.7046926053549</v>
      </c>
      <c r="F37" s="118">
        <v>741.4542640792843</v>
      </c>
      <c r="G37" s="118">
        <v>771.7393258789485</v>
      </c>
      <c r="H37" s="119">
        <v>0.10223381484793981</v>
      </c>
      <c r="I37" s="120">
        <v>1.1163573081239766</v>
      </c>
      <c r="J37" s="118">
        <v>113.74178603466846</v>
      </c>
      <c r="K37" s="118">
        <v>113.73678893162756</v>
      </c>
      <c r="L37" s="118">
        <v>113.7419765573645</v>
      </c>
      <c r="M37" s="118">
        <v>113.73991968886467</v>
      </c>
      <c r="N37" s="118"/>
      <c r="O37" s="121"/>
    </row>
    <row r="38" spans="1:15" ht="13.5">
      <c r="A38" s="116">
        <f t="shared" si="0"/>
        <v>30</v>
      </c>
      <c r="C38" s="117">
        <v>30.000591278076172</v>
      </c>
      <c r="D38" s="118">
        <v>825.6154535186706</v>
      </c>
      <c r="E38" s="118">
        <v>796.68101787188</v>
      </c>
      <c r="F38" s="118">
        <v>741.4927917698669</v>
      </c>
      <c r="G38" s="118">
        <v>771.7405966598983</v>
      </c>
      <c r="H38" s="119">
        <v>0.10223132445849425</v>
      </c>
      <c r="I38" s="120">
        <v>1.1163326808967153</v>
      </c>
      <c r="J38" s="118">
        <v>113.74034843063788</v>
      </c>
      <c r="K38" s="118">
        <v>113.7356160864791</v>
      </c>
      <c r="L38" s="118">
        <v>113.74052089428147</v>
      </c>
      <c r="M38" s="118">
        <v>113.73852479922529</v>
      </c>
      <c r="N38" s="118"/>
      <c r="O38" s="121"/>
    </row>
    <row r="39" spans="1:15" ht="13.5">
      <c r="A39" s="116"/>
      <c r="C39" s="117"/>
      <c r="D39" s="118"/>
      <c r="E39" s="118"/>
      <c r="F39" s="118"/>
      <c r="G39" s="118"/>
      <c r="H39" s="119"/>
      <c r="I39" s="120"/>
      <c r="J39" s="118"/>
      <c r="K39" s="118"/>
      <c r="L39" s="118"/>
      <c r="M39" s="118"/>
      <c r="N39" s="118"/>
      <c r="O39" s="121"/>
    </row>
  </sheetData>
  <sheetProtection selectLockedCells="1" selectUnlockedCells="1"/>
  <printOptions/>
  <pageMargins left="0.7479166666666667" right="0.7479166666666667" top="0.9840277777777777" bottom="0.9840277777777777" header="0.5" footer="0.5"/>
  <pageSetup horizontalDpi="300" verticalDpi="300" orientation="portrait"/>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sheetPr codeName="Sheet7"/>
  <dimension ref="A1:R32"/>
  <sheetViews>
    <sheetView showGridLines="0" zoomScalePageLayoutView="0" workbookViewId="0" topLeftCell="A1">
      <selection activeCell="A1" sqref="A1"/>
    </sheetView>
  </sheetViews>
  <sheetFormatPr defaultColWidth="9.00390625" defaultRowHeight="13.5"/>
  <cols>
    <col min="1" max="1" width="8.75390625" style="0" customWidth="1"/>
    <col min="2" max="3" width="8.625" style="0" customWidth="1"/>
    <col min="4" max="4" width="4.75390625" style="0" customWidth="1"/>
    <col min="5" max="12" width="8.625" style="0" customWidth="1"/>
    <col min="13" max="13" width="4.875" style="0" customWidth="1"/>
    <col min="14" max="19" width="8.625" style="0" customWidth="1"/>
    <col min="22" max="22" width="4.75390625" style="0" customWidth="1"/>
  </cols>
  <sheetData>
    <row r="1" ht="13.5">
      <c r="A1" s="388"/>
    </row>
    <row r="2" ht="13.5" customHeight="1"/>
    <row r="3" spans="3:9" ht="13.5" customHeight="1">
      <c r="C3" s="3"/>
      <c r="D3" s="3"/>
      <c r="E3" s="3"/>
      <c r="G3" s="128" t="s">
        <v>56</v>
      </c>
      <c r="H3" s="3"/>
      <c r="I3" s="3"/>
    </row>
    <row r="4" spans="2:9" ht="13.5" customHeight="1">
      <c r="B4" s="3"/>
      <c r="C4" s="3"/>
      <c r="D4" s="3"/>
      <c r="E4" s="3"/>
      <c r="F4" s="3"/>
      <c r="G4" s="3"/>
      <c r="H4" s="3"/>
      <c r="I4" s="3"/>
    </row>
    <row r="5" spans="1:11" ht="13.5" customHeight="1">
      <c r="A5" s="3"/>
      <c r="B5" s="3"/>
      <c r="C5" s="3"/>
      <c r="D5" s="3"/>
      <c r="E5" s="3"/>
      <c r="F5" s="3"/>
      <c r="G5" s="3"/>
      <c r="K5" s="129" t="s">
        <v>57</v>
      </c>
    </row>
    <row r="6" spans="1:11" ht="13.5" customHeight="1">
      <c r="A6" s="3"/>
      <c r="C6" s="3"/>
      <c r="D6" s="3"/>
      <c r="E6" s="3"/>
      <c r="F6" s="3"/>
      <c r="G6" s="3"/>
      <c r="K6" s="129" t="s">
        <v>219</v>
      </c>
    </row>
    <row r="7" spans="1:14" ht="13.5" customHeight="1">
      <c r="A7" s="3"/>
      <c r="B7" s="3"/>
      <c r="D7" s="3"/>
      <c r="F7" s="3"/>
      <c r="G7" s="3"/>
      <c r="H7" s="3"/>
      <c r="J7" s="3"/>
      <c r="K7" s="129" t="s">
        <v>91</v>
      </c>
      <c r="M7" s="3"/>
      <c r="N7" s="3"/>
    </row>
    <row r="8" spans="1:11" ht="13.5" customHeight="1" thickBot="1">
      <c r="A8" s="3"/>
      <c r="B8" s="3"/>
      <c r="C8" s="313">
        <v>-0.28861114475876093</v>
      </c>
      <c r="D8" s="3"/>
      <c r="E8" s="339">
        <f>E24/E$18</f>
        <v>0</v>
      </c>
      <c r="F8" s="45">
        <v>0</v>
      </c>
      <c r="G8" s="45">
        <v>0</v>
      </c>
      <c r="H8" s="389">
        <v>0</v>
      </c>
      <c r="J8" s="3"/>
      <c r="K8" s="129"/>
    </row>
    <row r="9" spans="1:11" ht="13.5" customHeight="1">
      <c r="A9" s="3"/>
      <c r="B9" s="3"/>
      <c r="C9" s="50" t="s">
        <v>29</v>
      </c>
      <c r="D9" s="100" t="s">
        <v>111</v>
      </c>
      <c r="E9" s="13" t="s">
        <v>2</v>
      </c>
      <c r="F9" s="13" t="s">
        <v>3</v>
      </c>
      <c r="G9" s="13" t="s">
        <v>4</v>
      </c>
      <c r="H9" s="13" t="s">
        <v>0</v>
      </c>
      <c r="J9" s="3"/>
      <c r="K9" s="3"/>
    </row>
    <row r="10" spans="1:11" ht="13.5" customHeight="1">
      <c r="A10" s="3"/>
      <c r="B10" s="3"/>
      <c r="C10" s="16">
        <f>-E24</f>
        <v>0</v>
      </c>
      <c r="D10" s="13" t="s">
        <v>2</v>
      </c>
      <c r="E10" s="340">
        <f>E26/E$18</f>
        <v>104588.82611424987</v>
      </c>
      <c r="F10" s="20">
        <f>-F8-SUM(F11:F13)</f>
        <v>-100</v>
      </c>
      <c r="G10" s="18">
        <f>-G8-SUM(G11:G13)</f>
        <v>-750</v>
      </c>
      <c r="H10" s="18">
        <f>-H8-SUM(H11:H13)</f>
        <v>-8766</v>
      </c>
      <c r="J10" s="3"/>
      <c r="K10" s="3"/>
    </row>
    <row r="11" spans="1:17" ht="13.5" customHeight="1">
      <c r="A11" s="3"/>
      <c r="B11" s="3"/>
      <c r="C11" s="21">
        <f>F26-E27</f>
        <v>-8035.153797865685</v>
      </c>
      <c r="D11" s="13" t="s">
        <v>3</v>
      </c>
      <c r="E11" s="341">
        <f>E27/E$18</f>
        <v>-40175.76898932832</v>
      </c>
      <c r="F11" s="131">
        <v>50</v>
      </c>
      <c r="G11" s="132">
        <v>150</v>
      </c>
      <c r="H11" s="132">
        <v>1000</v>
      </c>
      <c r="J11" s="3"/>
      <c r="K11" s="3"/>
      <c r="N11" s="133">
        <f>L18*F11+F10</f>
        <v>-44.99999999999999</v>
      </c>
      <c r="O11" s="133">
        <f>L18*G11</f>
        <v>165</v>
      </c>
      <c r="P11" s="3"/>
      <c r="Q11" s="133">
        <f>-L18*H11*H18</f>
        <v>-22000</v>
      </c>
    </row>
    <row r="12" spans="1:17" ht="13.5" customHeight="1">
      <c r="A12" s="3"/>
      <c r="B12" s="3"/>
      <c r="C12" s="21">
        <f>G26-E28</f>
        <v>-7344.632768361582</v>
      </c>
      <c r="D12" s="13" t="s">
        <v>4</v>
      </c>
      <c r="E12" s="342">
        <f>E28/E$18</f>
        <v>-36723.16384180792</v>
      </c>
      <c r="F12" s="134">
        <v>30</v>
      </c>
      <c r="G12" s="135">
        <v>250</v>
      </c>
      <c r="H12" s="136">
        <v>1000</v>
      </c>
      <c r="J12" s="3"/>
      <c r="K12" s="3"/>
      <c r="N12" s="133">
        <f>L18*F12</f>
        <v>33</v>
      </c>
      <c r="O12" s="133">
        <f>L18*G12+G10</f>
        <v>-475</v>
      </c>
      <c r="P12" s="3"/>
      <c r="Q12" s="133">
        <f>-L18*H12*H18</f>
        <v>-22000</v>
      </c>
    </row>
    <row r="13" spans="1:17" ht="13.5" customHeight="1" thickBot="1">
      <c r="A13" s="3"/>
      <c r="B13" s="3"/>
      <c r="C13" s="30">
        <f>H26-E29</f>
        <v>15379.78656622726</v>
      </c>
      <c r="D13" s="10" t="s">
        <v>0</v>
      </c>
      <c r="E13" s="99">
        <f>E29/E$18</f>
        <v>-27689.89328311363</v>
      </c>
      <c r="F13" s="190">
        <v>20</v>
      </c>
      <c r="G13" s="191">
        <v>350</v>
      </c>
      <c r="H13" s="192">
        <v>6766</v>
      </c>
      <c r="J13" s="3"/>
      <c r="K13" s="3"/>
      <c r="N13" s="133">
        <f>F13+L15*(F11+F12)</f>
        <v>12</v>
      </c>
      <c r="O13" s="133">
        <f>G13+L15*(G11+G12)</f>
        <v>310</v>
      </c>
      <c r="P13" s="3"/>
      <c r="Q13" s="133">
        <f>H18*(-H10-H13-L15*(H11+H12))</f>
        <v>44000</v>
      </c>
    </row>
    <row r="14" spans="1:17" ht="13.5" customHeight="1">
      <c r="A14" s="3"/>
      <c r="B14" s="3"/>
      <c r="J14" s="3"/>
      <c r="K14" s="3"/>
      <c r="L14" s="14" t="s">
        <v>121</v>
      </c>
      <c r="N14" s="3"/>
      <c r="O14" s="3"/>
      <c r="P14" s="3"/>
      <c r="Q14" s="3"/>
    </row>
    <row r="15" spans="1:18" ht="13.5" customHeight="1" thickBot="1">
      <c r="A15" s="3"/>
      <c r="D15" s="3"/>
      <c r="E15" s="3"/>
      <c r="F15" s="3"/>
      <c r="G15" s="3"/>
      <c r="H15" s="3"/>
      <c r="J15" s="3"/>
      <c r="K15" s="3"/>
      <c r="L15" s="138">
        <f>-C18</f>
        <v>-0.1</v>
      </c>
      <c r="M15" s="3"/>
      <c r="N15" s="133">
        <f>N11*N11+N12*N12+N13*N13</f>
        <v>3257.999999999999</v>
      </c>
      <c r="O15" s="133">
        <f>N11*O11+N12*O12+N13*O13</f>
        <v>-19380</v>
      </c>
      <c r="P15" s="3"/>
      <c r="Q15" s="133">
        <f>N11*Q11+N12*Q12+N13*Q13</f>
        <v>791999.9999999999</v>
      </c>
      <c r="R15" s="3"/>
    </row>
    <row r="16" spans="1:17" ht="13.5" customHeight="1">
      <c r="A16" s="3"/>
      <c r="J16" s="3"/>
      <c r="K16" s="3"/>
      <c r="L16" s="3"/>
      <c r="N16" s="133">
        <f>O15</f>
        <v>-19380</v>
      </c>
      <c r="O16" s="133">
        <f>O11*O11+O12*O12+O13*O13</f>
        <v>348950</v>
      </c>
      <c r="P16" s="3"/>
      <c r="Q16" s="133">
        <f>O11*Q11+O12*Q12+O13*Q13</f>
        <v>20460000</v>
      </c>
    </row>
    <row r="17" spans="1:12" ht="13.5" customHeight="1">
      <c r="A17" s="3"/>
      <c r="B17" s="3"/>
      <c r="D17" s="3"/>
      <c r="E17" s="13" t="s">
        <v>2</v>
      </c>
      <c r="F17" s="13" t="s">
        <v>3</v>
      </c>
      <c r="G17" s="13" t="s">
        <v>4</v>
      </c>
      <c r="H17" s="13" t="s">
        <v>0</v>
      </c>
      <c r="J17" s="3"/>
      <c r="K17" s="3"/>
      <c r="L17" s="41" t="s">
        <v>143</v>
      </c>
    </row>
    <row r="18" spans="1:17" ht="13.5" customHeight="1" thickBot="1">
      <c r="A18" s="3"/>
      <c r="B18" s="3"/>
      <c r="C18" s="184">
        <v>0.1</v>
      </c>
      <c r="D18" s="100" t="s">
        <v>88</v>
      </c>
      <c r="E18" s="185">
        <v>2</v>
      </c>
      <c r="F18" s="186">
        <f>N18/Q18</f>
        <v>883.8669177652231</v>
      </c>
      <c r="G18" s="187">
        <f>O18/Q18</f>
        <v>107.72128060263655</v>
      </c>
      <c r="H18" s="390">
        <v>20</v>
      </c>
      <c r="I18" s="2"/>
      <c r="J18" s="2"/>
      <c r="K18" s="2"/>
      <c r="L18" s="29">
        <f>1-L15</f>
        <v>1.1</v>
      </c>
      <c r="M18" s="2"/>
      <c r="N18" s="188">
        <f>Q15*O16-Q16*O15</f>
        <v>672883200000</v>
      </c>
      <c r="O18" s="188">
        <f>N15*Q16-N16*Q15</f>
        <v>82007639999.99998</v>
      </c>
      <c r="Q18" s="139">
        <f>N15*O16-N16*O15</f>
        <v>761294699.9999998</v>
      </c>
    </row>
    <row r="19" spans="1:13" ht="13.5" customHeight="1">
      <c r="A19" s="3"/>
      <c r="B19" s="3"/>
      <c r="C19" s="92" t="s">
        <v>58</v>
      </c>
      <c r="D19" s="3"/>
      <c r="E19" s="92" t="s">
        <v>59</v>
      </c>
      <c r="F19" s="3"/>
      <c r="G19" s="3"/>
      <c r="H19" s="140" t="s">
        <v>27</v>
      </c>
      <c r="J19" s="3"/>
      <c r="K19" s="3"/>
      <c r="M19" s="3"/>
    </row>
    <row r="20" spans="1:13" ht="13.5" customHeight="1">
      <c r="A20" s="3"/>
      <c r="B20" s="3"/>
      <c r="E20" s="92" t="s">
        <v>60</v>
      </c>
      <c r="H20" s="140" t="s">
        <v>61</v>
      </c>
      <c r="J20" s="3"/>
      <c r="K20" s="3"/>
      <c r="M20" s="3"/>
    </row>
    <row r="21" spans="1:13" ht="13.5" customHeight="1">
      <c r="A21" s="3"/>
      <c r="B21" s="3"/>
      <c r="K21" s="3"/>
      <c r="M21" s="3"/>
    </row>
    <row r="22" spans="1:13" ht="13.5" customHeight="1">
      <c r="A22" s="3"/>
      <c r="B22" s="3"/>
      <c r="D22" s="3"/>
      <c r="E22" s="3"/>
      <c r="F22" s="3"/>
      <c r="G22" s="3"/>
      <c r="H22" s="3"/>
      <c r="I22" s="3"/>
      <c r="J22" s="3"/>
      <c r="K22" s="3"/>
      <c r="M22" s="3"/>
    </row>
    <row r="23" spans="1:11" ht="13.5" customHeight="1">
      <c r="A23" s="3"/>
      <c r="B23" s="3"/>
      <c r="K23" s="3"/>
    </row>
    <row r="24" spans="1:11" ht="13.5" customHeight="1" thickBot="1">
      <c r="A24" s="3"/>
      <c r="B24" s="3"/>
      <c r="D24" s="3"/>
      <c r="E24" s="334">
        <f>-SUM(F24:H24)</f>
        <v>0</v>
      </c>
      <c r="F24" s="335">
        <f>F$18*F8</f>
        <v>0</v>
      </c>
      <c r="G24" s="335">
        <f>G$18*G8</f>
        <v>0</v>
      </c>
      <c r="H24" s="391">
        <f>H$18*H8</f>
        <v>0</v>
      </c>
      <c r="K24" s="3"/>
    </row>
    <row r="25" spans="1:11" ht="13.5" customHeight="1">
      <c r="A25" s="3"/>
      <c r="B25" s="3"/>
      <c r="D25" s="100" t="s">
        <v>110</v>
      </c>
      <c r="E25" s="13" t="s">
        <v>2</v>
      </c>
      <c r="F25" s="13" t="s">
        <v>3</v>
      </c>
      <c r="G25" s="13" t="s">
        <v>4</v>
      </c>
      <c r="H25" s="13" t="s">
        <v>0</v>
      </c>
      <c r="K25" s="3"/>
    </row>
    <row r="26" spans="1:11" ht="13.5" customHeight="1">
      <c r="A26" s="3"/>
      <c r="B26" s="3"/>
      <c r="D26" s="13" t="s">
        <v>2</v>
      </c>
      <c r="E26" s="16">
        <f>-SUM(F26:H26)</f>
        <v>209177.65222849973</v>
      </c>
      <c r="F26" s="93">
        <f>-F24-SUM(F27:F29)</f>
        <v>-88386.69177652232</v>
      </c>
      <c r="G26" s="94">
        <f>-G24-SUM(G27:G29)</f>
        <v>-80790.96045197741</v>
      </c>
      <c r="H26" s="94">
        <f>-H24-SUM(H27:H29)</f>
        <v>-40000</v>
      </c>
      <c r="K26" s="3"/>
    </row>
    <row r="27" spans="1:11" ht="13.5" customHeight="1">
      <c r="A27" s="3"/>
      <c r="B27" s="41" t="s">
        <v>62</v>
      </c>
      <c r="C27" s="141">
        <f>C11/E27</f>
        <v>0.10000000000000027</v>
      </c>
      <c r="D27" s="13" t="s">
        <v>3</v>
      </c>
      <c r="E27" s="83">
        <f>-SUM(F27:H27)</f>
        <v>-80351.53797865663</v>
      </c>
      <c r="F27" s="84">
        <f aca="true" t="shared" si="0" ref="F27:H28">F$18*F11</f>
        <v>44193.34588826115</v>
      </c>
      <c r="G27" s="85">
        <f t="shared" si="0"/>
        <v>16158.192090395483</v>
      </c>
      <c r="H27" s="85">
        <f t="shared" si="0"/>
        <v>20000</v>
      </c>
      <c r="K27" s="3"/>
    </row>
    <row r="28" spans="1:11" ht="13.5" customHeight="1">
      <c r="A28" s="3"/>
      <c r="B28" s="140" t="s">
        <v>63</v>
      </c>
      <c r="C28" s="141">
        <f>C12/E28</f>
        <v>0.09999999999999998</v>
      </c>
      <c r="D28" s="13" t="s">
        <v>4</v>
      </c>
      <c r="E28" s="89">
        <f>-SUM(F28:H28)</f>
        <v>-73446.32768361583</v>
      </c>
      <c r="F28" s="90">
        <f t="shared" si="0"/>
        <v>26516.007532956693</v>
      </c>
      <c r="G28" s="91">
        <f t="shared" si="0"/>
        <v>26930.32015065914</v>
      </c>
      <c r="H28" s="86">
        <f t="shared" si="0"/>
        <v>20000</v>
      </c>
      <c r="K28" s="3"/>
    </row>
    <row r="29" spans="1:11" ht="13.5" customHeight="1" thickBot="1">
      <c r="A29" s="3"/>
      <c r="B29" s="140" t="s">
        <v>64</v>
      </c>
      <c r="D29" s="13" t="s">
        <v>0</v>
      </c>
      <c r="E29" s="336">
        <f>-SUM(F29:H29)</f>
        <v>-55379.78656622726</v>
      </c>
      <c r="F29" s="337">
        <f>F$18*F13</f>
        <v>17677.338355304462</v>
      </c>
      <c r="G29" s="338">
        <f>G$18*G13</f>
        <v>37702.4482109228</v>
      </c>
      <c r="H29" s="239">
        <v>0</v>
      </c>
      <c r="K29" s="3"/>
    </row>
    <row r="30" spans="1:11" ht="13.5" customHeight="1">
      <c r="A30" s="3"/>
      <c r="B30" s="3"/>
      <c r="K30" s="3"/>
    </row>
    <row r="31" spans="1:11" ht="13.5" customHeight="1">
      <c r="A31" s="3"/>
      <c r="B31" s="3"/>
      <c r="K31" s="3"/>
    </row>
    <row r="32" spans="1:11" ht="13.5" customHeight="1">
      <c r="A32" s="3"/>
      <c r="B32" s="3"/>
      <c r="J32" s="3"/>
      <c r="K32" s="3"/>
    </row>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r:id="rId4"/>
  <drawing r:id="rId3"/>
  <legacyDrawing r:id="rId2"/>
  <oleObjects>
    <oleObject progId="Adobe Photoshop Image" shapeId="380581" r:id="rId1"/>
  </oleObjects>
</worksheet>
</file>

<file path=xl/worksheets/sheet8.xml><?xml version="1.0" encoding="utf-8"?>
<worksheet xmlns="http://schemas.openxmlformats.org/spreadsheetml/2006/main" xmlns:r="http://schemas.openxmlformats.org/officeDocument/2006/relationships">
  <sheetPr codeName="Sheet5"/>
  <dimension ref="A3:T53"/>
  <sheetViews>
    <sheetView showGridLines="0" zoomScalePageLayoutView="0" workbookViewId="0" topLeftCell="A1">
      <selection activeCell="A1" sqref="A1"/>
    </sheetView>
  </sheetViews>
  <sheetFormatPr defaultColWidth="9.00390625" defaultRowHeight="13.5"/>
  <cols>
    <col min="1" max="1" width="6.125" style="0" customWidth="1"/>
    <col min="2" max="2" width="9.50390625" style="0" customWidth="1"/>
    <col min="3" max="3" width="8.625" style="0" customWidth="1"/>
    <col min="4" max="4" width="4.625" style="0" customWidth="1"/>
    <col min="5" max="26" width="8.625" style="0" customWidth="1"/>
  </cols>
  <sheetData>
    <row r="3" ht="15.75">
      <c r="G3" s="128" t="s">
        <v>85</v>
      </c>
    </row>
    <row r="4" ht="13.5" customHeight="1">
      <c r="M4" s="3"/>
    </row>
    <row r="5" spans="11:13" ht="13.5" customHeight="1">
      <c r="K5" s="3"/>
      <c r="L5" s="142" t="s">
        <v>65</v>
      </c>
      <c r="M5" s="3"/>
    </row>
    <row r="6" spans="3:13" ht="13.5" customHeight="1">
      <c r="C6" s="3"/>
      <c r="D6" s="3"/>
      <c r="E6" s="3"/>
      <c r="F6" s="3"/>
      <c r="G6" s="3"/>
      <c r="H6" s="3"/>
      <c r="I6" s="3"/>
      <c r="K6" s="3"/>
      <c r="L6" s="3"/>
      <c r="M6" s="3"/>
    </row>
    <row r="7" spans="2:20" ht="13.5" customHeight="1">
      <c r="B7" s="3"/>
      <c r="C7" s="3"/>
      <c r="D7" s="3"/>
      <c r="F7" s="3"/>
      <c r="K7" s="3"/>
      <c r="L7" s="143"/>
      <c r="M7" s="143"/>
      <c r="N7" s="144" t="s">
        <v>66</v>
      </c>
      <c r="O7" s="142" t="s">
        <v>67</v>
      </c>
      <c r="P7" s="143"/>
      <c r="Q7" s="143"/>
      <c r="R7" s="143"/>
      <c r="S7" s="143"/>
      <c r="T7" s="145"/>
    </row>
    <row r="8" spans="1:20" ht="13.5" customHeight="1">
      <c r="A8" s="3"/>
      <c r="B8" s="146"/>
      <c r="C8" s="3"/>
      <c r="J8" s="3"/>
      <c r="K8" s="3"/>
      <c r="L8" s="147" t="s">
        <v>68</v>
      </c>
      <c r="M8" s="148">
        <f>-F12</f>
        <v>100</v>
      </c>
      <c r="N8" s="149">
        <f>F19</f>
        <v>883.8669177652231</v>
      </c>
      <c r="O8" s="150">
        <f>M8*N8</f>
        <v>88386.6917765223</v>
      </c>
      <c r="P8" s="151">
        <f>O8-O9-O10-O11</f>
        <v>8035.153797865671</v>
      </c>
      <c r="Q8" s="152"/>
      <c r="R8" s="143"/>
      <c r="S8" s="143"/>
      <c r="T8" s="3"/>
    </row>
    <row r="9" spans="1:20" ht="13.5" customHeight="1">
      <c r="A9" s="3"/>
      <c r="J9" s="3"/>
      <c r="K9" s="3"/>
      <c r="L9" s="153" t="s">
        <v>69</v>
      </c>
      <c r="M9" s="154">
        <f>F13</f>
        <v>50</v>
      </c>
      <c r="N9" s="155">
        <f>F19</f>
        <v>883.8669177652231</v>
      </c>
      <c r="O9" s="156">
        <f>M9*N9</f>
        <v>44193.34588826115</v>
      </c>
      <c r="P9" s="151">
        <f>(O8)*(-O9)+(O8-O9)*(-O10-O11)+(-O10)*(-O11)</f>
        <v>-5180891289.536103</v>
      </c>
      <c r="Q9" s="151">
        <f>P9/P8/3</f>
        <v>-214926.03708934903</v>
      </c>
      <c r="R9" s="157" t="s">
        <v>70</v>
      </c>
      <c r="S9" s="143"/>
      <c r="T9" s="3"/>
    </row>
    <row r="10" spans="1:20" ht="13.5" customHeight="1">
      <c r="A10" s="3"/>
      <c r="B10" s="3"/>
      <c r="C10" s="2"/>
      <c r="D10" s="2"/>
      <c r="E10" s="8"/>
      <c r="F10" s="6">
        <f>GPE!F8</f>
        <v>0</v>
      </c>
      <c r="G10" s="6">
        <f>GPE!G8</f>
        <v>0</v>
      </c>
      <c r="H10" s="312">
        <f>GPE!H8</f>
        <v>0</v>
      </c>
      <c r="I10" s="2"/>
      <c r="J10" s="3"/>
      <c r="K10" s="3"/>
      <c r="L10" s="153" t="s">
        <v>71</v>
      </c>
      <c r="M10" s="154">
        <f>G13</f>
        <v>150</v>
      </c>
      <c r="N10" s="155">
        <f>G19</f>
        <v>107.72128060263655</v>
      </c>
      <c r="O10" s="156">
        <f>M10*N10</f>
        <v>16158.192090395483</v>
      </c>
      <c r="P10" s="151">
        <f>(O8-O9)*(-O10)*(-O11)+(-O10-O11)*(O8)*(-O9)</f>
        <v>155519337237525.4</v>
      </c>
      <c r="Q10" s="151">
        <f>P10/P8/3</f>
        <v>6451622505.712962</v>
      </c>
      <c r="R10" s="157" t="s">
        <v>15</v>
      </c>
      <c r="S10" s="143"/>
      <c r="T10" s="3"/>
    </row>
    <row r="11" spans="1:20" ht="13.5" customHeight="1">
      <c r="A11" s="3"/>
      <c r="B11" s="3"/>
      <c r="C11" s="2"/>
      <c r="D11" s="100" t="s">
        <v>16</v>
      </c>
      <c r="E11" s="10" t="s">
        <v>2</v>
      </c>
      <c r="F11" s="10" t="s">
        <v>3</v>
      </c>
      <c r="G11" s="10" t="s">
        <v>4</v>
      </c>
      <c r="H11" s="10" t="s">
        <v>0</v>
      </c>
      <c r="I11" s="2"/>
      <c r="J11" s="3"/>
      <c r="K11" s="3"/>
      <c r="L11" s="153" t="s">
        <v>72</v>
      </c>
      <c r="M11" s="154">
        <f>H13</f>
        <v>1000</v>
      </c>
      <c r="N11" s="155">
        <f>H19</f>
        <v>20</v>
      </c>
      <c r="O11" s="156">
        <f>M11*N11</f>
        <v>20000</v>
      </c>
      <c r="P11" s="151">
        <f>(O8)*(-O9)*(-O10)*(-O11)</f>
        <v>-1.262311459318992E+18</v>
      </c>
      <c r="Q11" s="151">
        <f>P11/P8/2</f>
        <v>-78549302917779.38</v>
      </c>
      <c r="R11" s="157" t="s">
        <v>73</v>
      </c>
      <c r="T11" s="3"/>
    </row>
    <row r="12" spans="1:20" ht="13.5" customHeight="1">
      <c r="A12" s="3"/>
      <c r="B12" s="3"/>
      <c r="C12" s="2"/>
      <c r="D12" s="10" t="s">
        <v>2</v>
      </c>
      <c r="E12" s="55">
        <f>GPE!E10</f>
        <v>104588.82611424987</v>
      </c>
      <c r="F12" s="56">
        <f>GPE!F10</f>
        <v>-100</v>
      </c>
      <c r="G12" s="57">
        <f>GPE!G10</f>
        <v>-750</v>
      </c>
      <c r="H12" s="57">
        <f>GPE!H10</f>
        <v>-8766</v>
      </c>
      <c r="I12" s="2"/>
      <c r="K12" s="3"/>
      <c r="L12" s="158"/>
      <c r="M12" s="143"/>
      <c r="N12" s="142" t="s">
        <v>74</v>
      </c>
      <c r="O12" s="143"/>
      <c r="P12" s="143"/>
      <c r="Q12" s="143"/>
      <c r="R12" s="159"/>
      <c r="T12" s="3"/>
    </row>
    <row r="13" spans="1:20" ht="13.5" customHeight="1">
      <c r="A13" s="3"/>
      <c r="B13" s="3"/>
      <c r="C13" s="2"/>
      <c r="D13" s="10" t="s">
        <v>3</v>
      </c>
      <c r="E13" s="193"/>
      <c r="F13" s="194">
        <f>GPE!F11</f>
        <v>50</v>
      </c>
      <c r="G13" s="195">
        <f>GPE!G11</f>
        <v>150</v>
      </c>
      <c r="H13" s="195">
        <f>GPE!H11</f>
        <v>1000</v>
      </c>
      <c r="I13" s="2"/>
      <c r="K13" s="3"/>
      <c r="L13" s="158"/>
      <c r="M13" s="143"/>
      <c r="N13" s="143"/>
      <c r="O13" s="142" t="s">
        <v>75</v>
      </c>
      <c r="P13" s="144" t="s">
        <v>26</v>
      </c>
      <c r="Q13" s="143"/>
      <c r="R13" s="159"/>
      <c r="S13" s="143"/>
      <c r="T13" s="3"/>
    </row>
    <row r="14" spans="1:20" ht="13.5" customHeight="1">
      <c r="A14" s="3"/>
      <c r="B14" s="3"/>
      <c r="C14" s="2"/>
      <c r="D14" s="10" t="s">
        <v>4</v>
      </c>
      <c r="E14" s="196"/>
      <c r="F14" s="197">
        <f>GPE!F12</f>
        <v>30</v>
      </c>
      <c r="G14" s="101">
        <f>GPE!G12</f>
        <v>250</v>
      </c>
      <c r="H14" s="198">
        <f>GPE!H12</f>
        <v>1000</v>
      </c>
      <c r="I14" s="2"/>
      <c r="K14" s="3"/>
      <c r="L14" s="153" t="s">
        <v>76</v>
      </c>
      <c r="M14" s="160">
        <f>O14/N8</f>
        <v>794.2843664315288</v>
      </c>
      <c r="N14" s="143"/>
      <c r="O14" s="150">
        <f>P$14+O8</f>
        <v>702041.6747869385</v>
      </c>
      <c r="P14" s="161">
        <f>-Q9+Q16+Q17</f>
        <v>613654.9830104162</v>
      </c>
      <c r="Q14" s="151">
        <f>-Q9*Q9+Q10</f>
        <v>-39741578913.21928</v>
      </c>
      <c r="R14" s="162" t="s">
        <v>77</v>
      </c>
      <c r="S14" s="163">
        <f>Q14^3+Q15^2</f>
        <v>6.560854016989328E+28</v>
      </c>
      <c r="T14" s="3"/>
    </row>
    <row r="15" spans="1:20" ht="13.5" customHeight="1" thickBot="1">
      <c r="A15" s="3"/>
      <c r="B15" s="3"/>
      <c r="C15" s="2"/>
      <c r="D15" s="10" t="s">
        <v>0</v>
      </c>
      <c r="E15" s="36"/>
      <c r="F15" s="37">
        <f>GPE!F13</f>
        <v>20</v>
      </c>
      <c r="G15" s="38">
        <f>GPE!G13</f>
        <v>350</v>
      </c>
      <c r="H15" s="39">
        <f>GPE!H13</f>
        <v>6766</v>
      </c>
      <c r="I15" s="2"/>
      <c r="K15" s="3"/>
      <c r="L15" s="153" t="s">
        <v>78</v>
      </c>
      <c r="M15" s="164">
        <f>O15/N9</f>
        <v>644.284366431529</v>
      </c>
      <c r="N15" s="143"/>
      <c r="O15" s="156">
        <f>P$14-O9</f>
        <v>569461.637122155</v>
      </c>
      <c r="P15" s="152"/>
      <c r="Q15" s="151">
        <f>Q9^3-3*Q9*Q10/2+Q11</f>
        <v>-7926738537434964</v>
      </c>
      <c r="R15" s="162" t="s">
        <v>79</v>
      </c>
      <c r="S15" s="163">
        <f>SQRT(ABS(S14))</f>
        <v>256141640835482.44</v>
      </c>
      <c r="T15" s="3"/>
    </row>
    <row r="16" spans="1:20" ht="13.5" customHeight="1">
      <c r="A16" s="3"/>
      <c r="B16" s="3"/>
      <c r="C16" s="2"/>
      <c r="D16" s="2"/>
      <c r="E16" s="2"/>
      <c r="F16" s="2"/>
      <c r="G16" s="2"/>
      <c r="H16" s="2"/>
      <c r="I16" s="2"/>
      <c r="J16" s="3"/>
      <c r="K16" s="3"/>
      <c r="L16" s="153" t="s">
        <v>80</v>
      </c>
      <c r="M16" s="164">
        <f>O16/N10</f>
        <v>5546.692237386904</v>
      </c>
      <c r="N16" s="143"/>
      <c r="O16" s="156">
        <f>P$14-O10</f>
        <v>597496.7909200207</v>
      </c>
      <c r="P16" s="152"/>
      <c r="Q16" s="151">
        <f>IF(S16&gt;0,S16^(1/3),-((-S16)^(1/3)))</f>
        <v>201512.53385631775</v>
      </c>
      <c r="R16" s="157" t="s">
        <v>81</v>
      </c>
      <c r="S16" s="151">
        <f>(-Q15+S15)</f>
        <v>8182880178270446</v>
      </c>
      <c r="T16" s="3"/>
    </row>
    <row r="17" spans="1:20" ht="13.5" customHeight="1">
      <c r="A17" s="3"/>
      <c r="B17" s="3"/>
      <c r="C17" s="2"/>
      <c r="D17" s="2"/>
      <c r="E17" s="2"/>
      <c r="F17" s="2"/>
      <c r="G17" s="2"/>
      <c r="H17" s="2"/>
      <c r="I17" s="2"/>
      <c r="J17" s="3"/>
      <c r="K17" s="3"/>
      <c r="L17" s="153" t="s">
        <v>82</v>
      </c>
      <c r="M17" s="164">
        <f>O17/N11</f>
        <v>29682.74915052081</v>
      </c>
      <c r="N17" s="143"/>
      <c r="O17" s="156">
        <f>P$14-O11</f>
        <v>593654.9830104162</v>
      </c>
      <c r="P17" s="143"/>
      <c r="Q17" s="151">
        <f>IF(S17&gt;0,S17^(1/3),-((-S17)^(1/3)))</f>
        <v>197216.41206474937</v>
      </c>
      <c r="R17" s="157" t="s">
        <v>83</v>
      </c>
      <c r="S17" s="151">
        <f>(-Q15-S15)</f>
        <v>7670596896599482</v>
      </c>
      <c r="T17" s="3"/>
    </row>
    <row r="18" spans="1:20" ht="13.5" customHeight="1">
      <c r="A18" s="3"/>
      <c r="B18" s="3"/>
      <c r="C18" s="2"/>
      <c r="D18" s="2"/>
      <c r="E18" s="10" t="s">
        <v>2</v>
      </c>
      <c r="F18" s="10" t="s">
        <v>3</v>
      </c>
      <c r="G18" s="10" t="s">
        <v>4</v>
      </c>
      <c r="H18" s="10" t="s">
        <v>0</v>
      </c>
      <c r="I18" s="2"/>
      <c r="J18" s="3"/>
      <c r="K18" s="3"/>
      <c r="L18" s="3"/>
      <c r="M18" s="3"/>
      <c r="N18" s="3"/>
      <c r="O18" s="3"/>
      <c r="P18" s="3"/>
      <c r="Q18" s="3"/>
      <c r="R18" s="3"/>
      <c r="S18" s="3"/>
      <c r="T18" s="3"/>
    </row>
    <row r="19" spans="1:19" ht="13.5" customHeight="1">
      <c r="A19" s="3"/>
      <c r="B19" s="3"/>
      <c r="C19" s="2"/>
      <c r="D19" s="100" t="s">
        <v>88</v>
      </c>
      <c r="E19" s="371">
        <f>GPE!E18</f>
        <v>2</v>
      </c>
      <c r="F19" s="186">
        <f>GPE!F18</f>
        <v>883.8669177652231</v>
      </c>
      <c r="G19" s="187">
        <f>GPE!G18</f>
        <v>107.72128060263655</v>
      </c>
      <c r="H19" s="200">
        <f>GPE!H18</f>
        <v>20</v>
      </c>
      <c r="I19" s="2"/>
      <c r="J19" s="3"/>
      <c r="K19" s="3"/>
      <c r="L19" s="3"/>
      <c r="M19" s="3"/>
      <c r="N19" s="3"/>
      <c r="O19" s="3"/>
      <c r="P19" s="3"/>
      <c r="Q19" s="3"/>
      <c r="R19" s="3"/>
      <c r="S19" s="3"/>
    </row>
    <row r="20" spans="1:20" ht="13.5" customHeight="1">
      <c r="A20" s="3"/>
      <c r="B20" s="3"/>
      <c r="C20" s="2"/>
      <c r="D20" s="2"/>
      <c r="E20" s="2"/>
      <c r="F20" s="2"/>
      <c r="G20" s="2"/>
      <c r="H20" s="2"/>
      <c r="I20" s="2"/>
      <c r="J20" s="3"/>
      <c r="K20" s="3"/>
      <c r="L20" s="3"/>
      <c r="M20" s="3"/>
      <c r="N20" s="3"/>
      <c r="O20" s="3"/>
      <c r="P20" s="3"/>
      <c r="Q20" s="3"/>
      <c r="R20" s="3"/>
      <c r="S20" s="3"/>
      <c r="T20" s="3"/>
    </row>
    <row r="21" spans="1:20" ht="13.5" customHeight="1">
      <c r="A21" s="3"/>
      <c r="B21" s="3"/>
      <c r="C21" s="2"/>
      <c r="D21" s="2"/>
      <c r="E21" s="2"/>
      <c r="F21" s="2"/>
      <c r="G21" s="2"/>
      <c r="H21" s="2"/>
      <c r="I21" s="2"/>
      <c r="J21" s="3"/>
      <c r="K21" s="3"/>
      <c r="L21" s="3"/>
      <c r="M21" s="3"/>
      <c r="N21" s="3"/>
      <c r="O21" s="3"/>
      <c r="P21" s="3"/>
      <c r="Q21" s="3"/>
      <c r="R21" s="3"/>
      <c r="S21" s="3"/>
      <c r="T21" s="3"/>
    </row>
    <row r="22" spans="1:20" ht="13.5" customHeight="1">
      <c r="A22" s="3"/>
      <c r="B22" s="3"/>
      <c r="C22" s="2"/>
      <c r="D22" s="2"/>
      <c r="E22" s="2"/>
      <c r="F22" s="2"/>
      <c r="G22" s="2"/>
      <c r="H22" s="2"/>
      <c r="I22" s="2"/>
      <c r="J22" s="3"/>
      <c r="L22" s="142" t="s">
        <v>84</v>
      </c>
      <c r="M22" s="3"/>
      <c r="N22" s="3"/>
      <c r="O22" s="3"/>
      <c r="P22" s="3"/>
      <c r="Q22" s="3"/>
      <c r="R22" s="3"/>
      <c r="S22" s="3"/>
      <c r="T22" s="3"/>
    </row>
    <row r="23" spans="1:20" ht="13.5" customHeight="1">
      <c r="A23" s="3"/>
      <c r="B23" s="3"/>
      <c r="C23" s="2"/>
      <c r="D23" s="2"/>
      <c r="E23" s="2"/>
      <c r="F23" s="2"/>
      <c r="G23" s="2"/>
      <c r="H23" s="2"/>
      <c r="I23" s="2"/>
      <c r="J23" s="3"/>
      <c r="L23" s="143"/>
      <c r="M23" s="143"/>
      <c r="N23" s="144" t="s">
        <v>66</v>
      </c>
      <c r="O23" s="142" t="s">
        <v>67</v>
      </c>
      <c r="P23" s="143"/>
      <c r="Q23" s="143"/>
      <c r="R23" s="143"/>
      <c r="S23" s="143"/>
      <c r="T23" s="3"/>
    </row>
    <row r="24" spans="1:19" ht="13.5" customHeight="1">
      <c r="A24" s="3"/>
      <c r="B24" s="3"/>
      <c r="C24" s="2"/>
      <c r="D24" s="2"/>
      <c r="E24" s="2"/>
      <c r="F24" s="2"/>
      <c r="G24" s="2"/>
      <c r="H24" s="2"/>
      <c r="I24" s="2"/>
      <c r="L24" s="147" t="s">
        <v>68</v>
      </c>
      <c r="M24" s="148">
        <f>-G12</f>
        <v>750</v>
      </c>
      <c r="N24" s="149">
        <f>G19</f>
        <v>107.72128060263655</v>
      </c>
      <c r="O24" s="150">
        <f>M24*N24</f>
        <v>80790.96045197741</v>
      </c>
      <c r="P24" s="151">
        <f>O24-O25-O26-O27</f>
        <v>7344.6327683615855</v>
      </c>
      <c r="Q24" s="152"/>
      <c r="R24" s="143"/>
      <c r="S24" s="143"/>
    </row>
    <row r="25" spans="1:19" ht="13.5" customHeight="1">
      <c r="A25" s="3"/>
      <c r="B25" s="3"/>
      <c r="C25" s="2"/>
      <c r="D25" s="2"/>
      <c r="E25" s="2"/>
      <c r="F25" s="2"/>
      <c r="G25" s="2"/>
      <c r="H25" s="2"/>
      <c r="I25" s="2"/>
      <c r="J25" s="3"/>
      <c r="L25" s="153" t="s">
        <v>69</v>
      </c>
      <c r="M25" s="154">
        <f>F14</f>
        <v>30</v>
      </c>
      <c r="N25" s="155">
        <f>F19</f>
        <v>883.8669177652231</v>
      </c>
      <c r="O25" s="156">
        <f>M25*N25</f>
        <v>26516.007532956693</v>
      </c>
      <c r="P25" s="151">
        <f>(O24)*(-O25)+(O24-O25)*(-O26-O27)+(-O26)*(-O27)</f>
        <v>-4150788229.5778513</v>
      </c>
      <c r="Q25" s="151">
        <f>P25/P24/3</f>
        <v>-188381.92734237932</v>
      </c>
      <c r="R25" s="157" t="s">
        <v>70</v>
      </c>
      <c r="S25" s="143"/>
    </row>
    <row r="26" spans="1:19" ht="13.5" customHeight="1">
      <c r="A26" s="3"/>
      <c r="B26" s="3"/>
      <c r="C26" s="2"/>
      <c r="D26" s="2"/>
      <c r="E26" s="2"/>
      <c r="F26" s="2"/>
      <c r="G26" s="2"/>
      <c r="H26" s="2"/>
      <c r="I26" s="2"/>
      <c r="L26" s="153" t="s">
        <v>71</v>
      </c>
      <c r="M26" s="154">
        <f>G14</f>
        <v>250</v>
      </c>
      <c r="N26" s="155">
        <f>G19</f>
        <v>107.72128060263655</v>
      </c>
      <c r="O26" s="156">
        <f>M26*N26</f>
        <v>26930.32015065914</v>
      </c>
      <c r="P26" s="151">
        <f>(O24-O25)*(-O26)*(-O27)+(-O26-O27)*(O24)*(-O25)</f>
        <v>129769489898400.7</v>
      </c>
      <c r="Q26" s="151">
        <f>P26/P24/3</f>
        <v>5889538387.696644</v>
      </c>
      <c r="R26" s="157" t="s">
        <v>15</v>
      </c>
      <c r="S26" s="143"/>
    </row>
    <row r="27" spans="1:18" ht="13.5" customHeight="1">
      <c r="A27" s="3"/>
      <c r="B27" s="3"/>
      <c r="C27" s="42" t="s">
        <v>26</v>
      </c>
      <c r="D27" s="100" t="s">
        <v>109</v>
      </c>
      <c r="E27" s="10" t="s">
        <v>2</v>
      </c>
      <c r="F27" s="10" t="s">
        <v>3</v>
      </c>
      <c r="G27" s="10" t="s">
        <v>4</v>
      </c>
      <c r="H27" s="10" t="s">
        <v>0</v>
      </c>
      <c r="I27" s="2"/>
      <c r="L27" s="153" t="s">
        <v>72</v>
      </c>
      <c r="M27" s="154">
        <f>H14</f>
        <v>1000</v>
      </c>
      <c r="N27" s="155">
        <f>H19</f>
        <v>20</v>
      </c>
      <c r="O27" s="156">
        <f>M27*N27</f>
        <v>20000</v>
      </c>
      <c r="P27" s="151">
        <f>(O24)*(-O25)*(-O26)*(-O27)</f>
        <v>-1.1538315682837663E+18</v>
      </c>
      <c r="Q27" s="151">
        <f>P27/P24/2</f>
        <v>-78549302917779.44</v>
      </c>
      <c r="R27" s="157" t="s">
        <v>73</v>
      </c>
    </row>
    <row r="28" spans="1:18" ht="13.5" customHeight="1">
      <c r="A28" s="3"/>
      <c r="B28" s="3"/>
      <c r="C28" s="55">
        <v>0</v>
      </c>
      <c r="D28" s="10" t="s">
        <v>2</v>
      </c>
      <c r="E28" s="55">
        <f>-E12+((O8-O14)+(O24-O30)-(O41-O45))/E19</f>
        <v>-643139.16478631</v>
      </c>
      <c r="F28" s="201">
        <f>M14</f>
        <v>794.2843664315288</v>
      </c>
      <c r="G28" s="202">
        <f>M30</f>
        <v>5693.503722212354</v>
      </c>
      <c r="H28" s="203">
        <f>-H12</f>
        <v>8766</v>
      </c>
      <c r="I28" s="2"/>
      <c r="L28" s="158"/>
      <c r="M28" s="143"/>
      <c r="N28" s="142" t="s">
        <v>74</v>
      </c>
      <c r="O28" s="143"/>
      <c r="P28" s="143"/>
      <c r="Q28" s="143"/>
      <c r="R28" s="159"/>
    </row>
    <row r="29" spans="1:19" ht="13.5" customHeight="1">
      <c r="A29" s="3"/>
      <c r="B29" s="3"/>
      <c r="C29" s="204">
        <f>P14</f>
        <v>613654.9830104162</v>
      </c>
      <c r="D29" s="10" t="s">
        <v>3</v>
      </c>
      <c r="E29" s="193"/>
      <c r="F29" s="205">
        <f>M15</f>
        <v>644.284366431529</v>
      </c>
      <c r="G29" s="206">
        <f>M16</f>
        <v>5546.692237386904</v>
      </c>
      <c r="H29" s="206">
        <f>M17</f>
        <v>29682.74915052081</v>
      </c>
      <c r="I29" s="2"/>
      <c r="L29" s="158"/>
      <c r="M29" s="143"/>
      <c r="N29" s="143"/>
      <c r="O29" s="142" t="s">
        <v>75</v>
      </c>
      <c r="P29" s="144" t="s">
        <v>26</v>
      </c>
      <c r="Q29" s="143"/>
      <c r="R29" s="159"/>
      <c r="S29" s="143"/>
    </row>
    <row r="30" spans="1:19" ht="13.5" customHeight="1">
      <c r="A30" s="3"/>
      <c r="B30" s="3"/>
      <c r="C30" s="204">
        <f>P30</f>
        <v>532520.5516206152</v>
      </c>
      <c r="D30" s="10" t="s">
        <v>4</v>
      </c>
      <c r="E30" s="196"/>
      <c r="F30" s="207">
        <f>M31</f>
        <v>572.4895161446304</v>
      </c>
      <c r="G30" s="208">
        <f>M32</f>
        <v>4693.503722212354</v>
      </c>
      <c r="H30" s="209">
        <f>M33</f>
        <v>25626.027581030758</v>
      </c>
      <c r="I30" s="2"/>
      <c r="L30" s="153" t="s">
        <v>76</v>
      </c>
      <c r="M30" s="160">
        <f>O30/N24</f>
        <v>5693.503722212354</v>
      </c>
      <c r="N30" s="143"/>
      <c r="O30" s="150">
        <f>$P$30+O24</f>
        <v>613311.5120725926</v>
      </c>
      <c r="P30" s="161">
        <f>-Q25+Q32+Q33</f>
        <v>532520.5516206152</v>
      </c>
      <c r="Q30" s="151">
        <f>-Q25*Q25+Q26</f>
        <v>-29598212161.53284</v>
      </c>
      <c r="R30" s="162" t="s">
        <v>77</v>
      </c>
      <c r="S30" s="163">
        <f>Q30^3+Q31^2</f>
        <v>7.6041040078391895E+28</v>
      </c>
    </row>
    <row r="31" spans="1:19" ht="13.5" customHeight="1" thickBot="1">
      <c r="A31" s="3"/>
      <c r="B31" s="3"/>
      <c r="C31" s="189">
        <f>P45</f>
        <v>69074.85728691093</v>
      </c>
      <c r="D31" s="10" t="s">
        <v>0</v>
      </c>
      <c r="E31" s="36"/>
      <c r="F31" s="31">
        <f>M46</f>
        <v>58.150744075318954</v>
      </c>
      <c r="G31" s="32">
        <f>M47</f>
        <v>291.23687446415556</v>
      </c>
      <c r="H31" s="382">
        <f>M45</f>
        <v>-10219.742864345546</v>
      </c>
      <c r="I31" s="2"/>
      <c r="L31" s="153" t="s">
        <v>78</v>
      </c>
      <c r="M31" s="164">
        <f>O31/N25</f>
        <v>572.4895161446304</v>
      </c>
      <c r="N31" s="143"/>
      <c r="O31" s="156">
        <f>$P$30-O25</f>
        <v>506004.54408765846</v>
      </c>
      <c r="P31" s="152"/>
      <c r="Q31" s="151">
        <f>Q25^3-3*Q25*Q26/2+Q27</f>
        <v>-5099576259480375</v>
      </c>
      <c r="R31" s="162" t="s">
        <v>79</v>
      </c>
      <c r="S31" s="163">
        <f>SQRT(ABS(S30))</f>
        <v>275755399001346.66</v>
      </c>
    </row>
    <row r="32" spans="1:19" ht="13.5" customHeight="1">
      <c r="A32" s="3"/>
      <c r="B32" s="3"/>
      <c r="C32" s="2"/>
      <c r="D32" s="2"/>
      <c r="E32" s="2"/>
      <c r="F32" s="2"/>
      <c r="G32" s="2"/>
      <c r="H32" s="2"/>
      <c r="I32" s="2"/>
      <c r="L32" s="153" t="s">
        <v>80</v>
      </c>
      <c r="M32" s="164">
        <f>O32/N26</f>
        <v>4693.503722212354</v>
      </c>
      <c r="N32" s="143"/>
      <c r="O32" s="156">
        <f>$P$30-O26</f>
        <v>505590.23146995605</v>
      </c>
      <c r="P32" s="152"/>
      <c r="Q32" s="151">
        <f>IF(S32&gt;0,S32^(1/3),-((-S32)^(1/3)))</f>
        <v>175173.50583416963</v>
      </c>
      <c r="R32" s="157" t="s">
        <v>81</v>
      </c>
      <c r="S32" s="151">
        <f>(-Q31+S31)</f>
        <v>5375331658481722</v>
      </c>
    </row>
    <row r="33" spans="1:19" ht="13.5" customHeight="1">
      <c r="A33" s="3"/>
      <c r="B33" s="3"/>
      <c r="C33" s="2"/>
      <c r="D33" s="2"/>
      <c r="E33" s="2"/>
      <c r="F33" s="2"/>
      <c r="G33" s="2"/>
      <c r="H33" s="2"/>
      <c r="I33" s="2"/>
      <c r="L33" s="153" t="s">
        <v>82</v>
      </c>
      <c r="M33" s="164">
        <f>O33/N27</f>
        <v>25626.027581030758</v>
      </c>
      <c r="N33" s="143"/>
      <c r="O33" s="156">
        <f>$P$30-O27</f>
        <v>512520.5516206152</v>
      </c>
      <c r="P33" s="143"/>
      <c r="Q33" s="151">
        <f>IF(S33&gt;0,S33^(1/3),-((-S33)^(1/3)))</f>
        <v>168965.1184440663</v>
      </c>
      <c r="R33" s="157" t="s">
        <v>83</v>
      </c>
      <c r="S33" s="151">
        <f>(-Q31-S31)</f>
        <v>4823820860479028</v>
      </c>
    </row>
    <row r="34" spans="1:13" ht="13.5" customHeight="1">
      <c r="A34" s="3"/>
      <c r="B34" s="3"/>
      <c r="C34" s="2"/>
      <c r="D34" s="2"/>
      <c r="E34" s="2"/>
      <c r="F34" s="2"/>
      <c r="G34" s="2"/>
      <c r="H34" s="2"/>
      <c r="I34" s="2"/>
      <c r="L34" s="3"/>
      <c r="M34" s="3"/>
    </row>
    <row r="35" spans="1:13" ht="13.5" customHeight="1">
      <c r="A35" s="3"/>
      <c r="L35" s="3"/>
      <c r="M35" s="3"/>
    </row>
    <row r="36" spans="1:12" ht="13.5" customHeight="1">
      <c r="A36" s="3"/>
      <c r="L36" s="3"/>
    </row>
    <row r="37" ht="13.5" customHeight="1">
      <c r="A37" s="3"/>
    </row>
    <row r="38" spans="1:12" ht="13.5" customHeight="1">
      <c r="A38" s="3"/>
      <c r="L38" s="142" t="s">
        <v>86</v>
      </c>
    </row>
    <row r="39" ht="13.5" customHeight="1">
      <c r="A39" s="3"/>
    </row>
    <row r="40" spans="1:15" ht="13.5" customHeight="1">
      <c r="A40" s="3"/>
      <c r="L40" s="165"/>
      <c r="M40" s="12" t="s">
        <v>23</v>
      </c>
      <c r="N40" s="144" t="s">
        <v>66</v>
      </c>
      <c r="O40" s="166" t="s">
        <v>67</v>
      </c>
    </row>
    <row r="41" spans="1:18" ht="13.5" customHeight="1">
      <c r="A41" s="3"/>
      <c r="L41" s="147" t="s">
        <v>68</v>
      </c>
      <c r="M41" s="167">
        <f>-H15</f>
        <v>-6766</v>
      </c>
      <c r="N41" s="168">
        <f>-H19</f>
        <v>-20</v>
      </c>
      <c r="O41" s="150">
        <f>M41*N41</f>
        <v>135320</v>
      </c>
      <c r="Q41" s="169">
        <f>O41-O42-O43</f>
        <v>79940.21343377273</v>
      </c>
      <c r="R41" s="170" t="s">
        <v>70</v>
      </c>
    </row>
    <row r="42" spans="1:18" ht="13.5" customHeight="1">
      <c r="A42" s="3"/>
      <c r="L42" s="153" t="s">
        <v>69</v>
      </c>
      <c r="M42" s="154">
        <f>F15</f>
        <v>20</v>
      </c>
      <c r="N42" s="155">
        <f>F19</f>
        <v>883.8669177652231</v>
      </c>
      <c r="O42" s="156">
        <f>M42*N42</f>
        <v>17677.338355304462</v>
      </c>
      <c r="Q42" s="169">
        <f>-O41*O42-O41*O43+O42*O43</f>
        <v>-6827513784.294046</v>
      </c>
      <c r="R42" s="170" t="s">
        <v>15</v>
      </c>
    </row>
    <row r="43" spans="1:18" ht="13.5" customHeight="1">
      <c r="A43" s="3"/>
      <c r="L43" s="153" t="s">
        <v>71</v>
      </c>
      <c r="M43" s="154">
        <f>G15</f>
        <v>350</v>
      </c>
      <c r="N43" s="155">
        <f>G19</f>
        <v>107.72128060263655</v>
      </c>
      <c r="O43" s="156">
        <f>M43*N43</f>
        <v>37702.4482109228</v>
      </c>
      <c r="Q43" s="171">
        <f>O41*O42*O43</f>
        <v>90187929328287.78</v>
      </c>
      <c r="R43" s="170" t="s">
        <v>73</v>
      </c>
    </row>
    <row r="44" spans="1:16" ht="13.5" customHeight="1">
      <c r="A44" s="3"/>
      <c r="L44" s="172"/>
      <c r="M44" s="143"/>
      <c r="N44" s="173" t="s">
        <v>74</v>
      </c>
      <c r="O44" s="166" t="s">
        <v>75</v>
      </c>
      <c r="P44" s="144" t="s">
        <v>26</v>
      </c>
    </row>
    <row r="45" spans="1:16" ht="13.5" customHeight="1">
      <c r="A45" s="3"/>
      <c r="L45" s="153" t="s">
        <v>76</v>
      </c>
      <c r="M45" s="160">
        <f>O45/N41</f>
        <v>-10219.742864345546</v>
      </c>
      <c r="N45" s="143"/>
      <c r="O45" s="150">
        <f>P$45+O41</f>
        <v>204394.85728691093</v>
      </c>
      <c r="P45" s="174">
        <f>(-Q42+SQRT(Q42^2-4*Q41*Q43))/(2*Q41)</f>
        <v>69074.85728691093</v>
      </c>
    </row>
    <row r="46" spans="1:15" ht="13.5" customHeight="1">
      <c r="A46" s="3"/>
      <c r="L46" s="153" t="s">
        <v>78</v>
      </c>
      <c r="M46" s="164">
        <f>O46/N42</f>
        <v>58.150744075318954</v>
      </c>
      <c r="N46" s="143"/>
      <c r="O46" s="175">
        <f>P$45-O42</f>
        <v>51397.51893160647</v>
      </c>
    </row>
    <row r="47" spans="1:15" ht="13.5" customHeight="1">
      <c r="A47" s="3"/>
      <c r="L47" s="153" t="s">
        <v>80</v>
      </c>
      <c r="M47" s="164">
        <f>O47/N43</f>
        <v>291.23687446415556</v>
      </c>
      <c r="N47" s="143"/>
      <c r="O47" s="175">
        <f>P$45-O43</f>
        <v>31372.409075988136</v>
      </c>
    </row>
    <row r="48" ht="13.5" customHeight="1">
      <c r="A48" s="3"/>
    </row>
    <row r="49" ht="13.5" customHeight="1">
      <c r="A49" s="3"/>
    </row>
    <row r="50" ht="13.5" customHeight="1">
      <c r="A50" s="3"/>
    </row>
    <row r="51" ht="13.5" customHeight="1">
      <c r="A51" s="3"/>
    </row>
    <row r="52" ht="13.5" customHeight="1">
      <c r="A52" s="3"/>
    </row>
    <row r="53" spans="1:3" ht="13.5" customHeight="1">
      <c r="A53" s="3"/>
      <c r="B53" s="176"/>
      <c r="C53" s="176"/>
    </row>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r:id="rId4"/>
  <drawing r:id="rId3"/>
  <legacyDrawing r:id="rId2"/>
  <oleObjects>
    <oleObject progId="Adobe Photoshop Image" shapeId="380580" r:id="rId1"/>
  </oleObjects>
</worksheet>
</file>

<file path=xl/worksheets/sheet9.xml><?xml version="1.0" encoding="utf-8"?>
<worksheet xmlns="http://schemas.openxmlformats.org/spreadsheetml/2006/main" xmlns:r="http://schemas.openxmlformats.org/officeDocument/2006/relationships">
  <sheetPr codeName="Sheet3"/>
  <dimension ref="A4:T55"/>
  <sheetViews>
    <sheetView showGridLines="0" zoomScalePageLayoutView="0" workbookViewId="0" topLeftCell="A1">
      <selection activeCell="A1" sqref="A1"/>
    </sheetView>
  </sheetViews>
  <sheetFormatPr defaultColWidth="9.00390625" defaultRowHeight="13.5"/>
  <cols>
    <col min="1" max="1" width="12.625" style="0" customWidth="1"/>
    <col min="2" max="2" width="3.125" style="0" customWidth="1"/>
    <col min="3" max="3" width="8.625" style="0" customWidth="1"/>
    <col min="4" max="4" width="3.125" style="0" customWidth="1"/>
    <col min="5" max="5" width="8.625" style="0" customWidth="1"/>
    <col min="6" max="6" width="3.125" style="0" customWidth="1"/>
    <col min="7" max="8" width="8.625" style="0" customWidth="1"/>
    <col min="10" max="11" width="8.625" style="0" customWidth="1"/>
    <col min="12" max="12" width="3.125" style="0" customWidth="1"/>
    <col min="13" max="13" width="8.625" style="0" customWidth="1"/>
    <col min="14" max="14" width="3.125" style="0" customWidth="1"/>
    <col min="15" max="18" width="8.625" style="0" customWidth="1"/>
    <col min="19" max="19" width="3.125" style="0" customWidth="1"/>
    <col min="20" max="20" width="8.625" style="0" customWidth="1"/>
    <col min="21" max="22" width="9.125" style="0" customWidth="1"/>
  </cols>
  <sheetData>
    <row r="4" ht="13.5" customHeight="1">
      <c r="G4" s="92" t="s">
        <v>87</v>
      </c>
    </row>
    <row r="5" ht="13.5" customHeight="1"/>
    <row r="6" ht="13.5" customHeight="1"/>
    <row r="7" ht="13.5" customHeight="1"/>
    <row r="8" spans="3:8" ht="13.5" customHeight="1">
      <c r="C8" s="2"/>
      <c r="D8" s="2"/>
      <c r="F8" s="2"/>
      <c r="G8" s="2"/>
      <c r="H8" s="2"/>
    </row>
    <row r="9" spans="3:12" ht="13.5" customHeight="1" thickBot="1">
      <c r="C9" s="29">
        <f>(1-C13)^-E9</f>
        <v>0.5131581182307065</v>
      </c>
      <c r="D9" s="2"/>
      <c r="E9" s="230">
        <v>7</v>
      </c>
      <c r="G9" s="455" t="s">
        <v>192</v>
      </c>
      <c r="K9" s="129"/>
      <c r="L9" s="129"/>
    </row>
    <row r="10" spans="3:19" ht="13.5" customHeight="1">
      <c r="C10" s="430" t="s">
        <v>142</v>
      </c>
      <c r="D10" s="2"/>
      <c r="H10" s="2"/>
      <c r="K10" s="129"/>
      <c r="L10" s="129"/>
      <c r="S10" s="2"/>
    </row>
    <row r="11" spans="3:20" ht="13.5" customHeight="1">
      <c r="C11" s="2"/>
      <c r="E11" s="2"/>
      <c r="H11" s="2"/>
      <c r="K11" s="129"/>
      <c r="L11" s="129"/>
      <c r="T11" s="2"/>
    </row>
    <row r="12" spans="3:19" ht="13.5" customHeight="1">
      <c r="C12" s="42" t="s">
        <v>121</v>
      </c>
      <c r="D12" s="2"/>
      <c r="E12" s="327" t="s">
        <v>162</v>
      </c>
      <c r="G12" s="100" t="s">
        <v>6</v>
      </c>
      <c r="S12" s="2"/>
    </row>
    <row r="13" spans="3:12" ht="13.5" customHeight="1" thickBot="1">
      <c r="C13" s="29">
        <f>GPE!L15</f>
        <v>-0.1</v>
      </c>
      <c r="E13" s="29">
        <f>(1-1/C9)/E9</f>
        <v>-0.13553101428571446</v>
      </c>
      <c r="G13" s="458">
        <v>1</v>
      </c>
      <c r="H13" s="231">
        <v>0.1</v>
      </c>
      <c r="I13" s="232">
        <f>1/3</f>
        <v>0.3333333333333333</v>
      </c>
      <c r="J13" s="392">
        <f>1</f>
        <v>1</v>
      </c>
      <c r="K13" s="492" t="s">
        <v>211</v>
      </c>
      <c r="L13" s="183"/>
    </row>
    <row r="14" spans="7:10" ht="13.5" customHeight="1">
      <c r="G14" s="10" t="s">
        <v>2</v>
      </c>
      <c r="H14" s="10" t="s">
        <v>3</v>
      </c>
      <c r="I14" s="10" t="s">
        <v>4</v>
      </c>
      <c r="J14" s="10" t="s">
        <v>0</v>
      </c>
    </row>
    <row r="15" ht="13.5" customHeight="1">
      <c r="D15" s="2"/>
    </row>
    <row r="16" spans="2:19" ht="13.5" customHeight="1">
      <c r="B16" s="3"/>
      <c r="C16" s="3"/>
      <c r="D16" s="3"/>
      <c r="E16" s="3"/>
      <c r="F16" s="3"/>
      <c r="G16" s="3"/>
      <c r="H16" s="3"/>
      <c r="I16" s="3"/>
      <c r="P16" s="2"/>
      <c r="Q16" s="2"/>
      <c r="R16" s="2"/>
      <c r="S16" s="2"/>
    </row>
    <row r="17" ht="13.5" customHeight="1">
      <c r="S17" s="2"/>
    </row>
    <row r="18" spans="2:9" ht="13.5" customHeight="1">
      <c r="B18" s="3"/>
      <c r="C18" s="3"/>
      <c r="D18" s="3"/>
      <c r="E18" s="3"/>
      <c r="I18" s="3"/>
    </row>
    <row r="19" spans="2:9" ht="13.5" customHeight="1">
      <c r="B19" s="3"/>
      <c r="C19" s="3"/>
      <c r="D19" s="3"/>
      <c r="E19" s="3"/>
      <c r="I19" s="3"/>
    </row>
    <row r="20" spans="2:9" ht="13.5" customHeight="1">
      <c r="B20" s="3"/>
      <c r="I20" s="3"/>
    </row>
    <row r="21" spans="2:12" ht="13.5" customHeight="1" thickBot="1">
      <c r="B21" s="3"/>
      <c r="F21" s="3"/>
      <c r="G21" s="130">
        <f>GPE!E8</f>
        <v>0</v>
      </c>
      <c r="H21" s="45">
        <f>GPE!F8</f>
        <v>0</v>
      </c>
      <c r="I21" s="45">
        <f>GPE!G8</f>
        <v>0</v>
      </c>
      <c r="J21" s="389">
        <f>GPE!H8</f>
        <v>0</v>
      </c>
      <c r="L21" s="3"/>
    </row>
    <row r="22" spans="2:12" ht="13.5" customHeight="1">
      <c r="B22" s="3"/>
      <c r="C22" s="50" t="s">
        <v>241</v>
      </c>
      <c r="D22" s="559"/>
      <c r="E22" s="50" t="s">
        <v>242</v>
      </c>
      <c r="F22" s="100" t="s">
        <v>99</v>
      </c>
      <c r="G22" s="13" t="s">
        <v>2</v>
      </c>
      <c r="H22" s="13" t="s">
        <v>3</v>
      </c>
      <c r="I22" s="13" t="s">
        <v>4</v>
      </c>
      <c r="J22" s="13" t="s">
        <v>0</v>
      </c>
      <c r="L22" s="3"/>
    </row>
    <row r="23" spans="2:10" ht="13.5" customHeight="1">
      <c r="B23" s="10" t="s">
        <v>2</v>
      </c>
      <c r="C23" s="16"/>
      <c r="E23" s="16"/>
      <c r="F23" s="13" t="s">
        <v>2</v>
      </c>
      <c r="G23" s="19">
        <f>GPE!E10</f>
        <v>104588.82611424987</v>
      </c>
      <c r="H23" s="20">
        <f>GPE!F10</f>
        <v>-100</v>
      </c>
      <c r="I23" s="18">
        <f>GPE!G10</f>
        <v>-750</v>
      </c>
      <c r="J23" s="18">
        <f>GPE!H10</f>
        <v>-8766</v>
      </c>
    </row>
    <row r="24" spans="2:10" ht="13.5" customHeight="1">
      <c r="B24" s="10" t="s">
        <v>3</v>
      </c>
      <c r="C24" s="21">
        <f>GPE!C11</f>
        <v>-8035.153797865685</v>
      </c>
      <c r="E24" s="21"/>
      <c r="F24" s="13" t="s">
        <v>3</v>
      </c>
      <c r="G24" s="22">
        <f>GPE!E11</f>
        <v>-40175.76898932832</v>
      </c>
      <c r="H24" s="23">
        <f>GPE!F11</f>
        <v>50</v>
      </c>
      <c r="I24" s="24">
        <f>GPE!G11</f>
        <v>150</v>
      </c>
      <c r="J24" s="24">
        <f>GPE!H11</f>
        <v>1000</v>
      </c>
    </row>
    <row r="25" spans="2:10" ht="13.5" customHeight="1">
      <c r="B25" s="10" t="s">
        <v>4</v>
      </c>
      <c r="C25" s="21">
        <f>GPE!C12</f>
        <v>-7344.632768361582</v>
      </c>
      <c r="E25" s="21"/>
      <c r="F25" s="13" t="s">
        <v>4</v>
      </c>
      <c r="G25" s="26">
        <f>GPE!E12</f>
        <v>-36723.16384180792</v>
      </c>
      <c r="H25" s="27">
        <f>GPE!F12</f>
        <v>30</v>
      </c>
      <c r="I25" s="28">
        <f>GPE!G12</f>
        <v>250</v>
      </c>
      <c r="J25" s="25">
        <f>GPE!H12</f>
        <v>1000</v>
      </c>
    </row>
    <row r="26" spans="2:10" ht="13.5" customHeight="1" thickBot="1">
      <c r="B26" s="10" t="s">
        <v>0</v>
      </c>
      <c r="C26" s="66">
        <f>GPE!A13</f>
        <v>0</v>
      </c>
      <c r="E26" s="66">
        <f>GPE!C13</f>
        <v>15379.78656622726</v>
      </c>
      <c r="F26" s="13" t="s">
        <v>0</v>
      </c>
      <c r="G26" s="137">
        <f>GPE!E13</f>
        <v>-27689.89328311363</v>
      </c>
      <c r="H26" s="63">
        <f>GPE!F13</f>
        <v>20</v>
      </c>
      <c r="I26" s="64">
        <f>GPE!G13</f>
        <v>350</v>
      </c>
      <c r="J26" s="65">
        <f>GPE!H13</f>
        <v>6766</v>
      </c>
    </row>
    <row r="27" spans="2:10" ht="13.5" customHeight="1">
      <c r="B27" s="3"/>
      <c r="E27" s="3"/>
      <c r="F27" s="3"/>
      <c r="G27" s="3"/>
      <c r="H27" s="3"/>
      <c r="I27" s="3"/>
      <c r="J27" s="3"/>
    </row>
    <row r="28" spans="2:10" ht="13.5" customHeight="1">
      <c r="B28" s="3"/>
      <c r="F28" s="3"/>
      <c r="G28" s="3"/>
      <c r="H28" s="3"/>
      <c r="I28" s="3"/>
      <c r="J28" s="3"/>
    </row>
    <row r="29" ht="13.5" customHeight="1">
      <c r="B29" s="3"/>
    </row>
    <row r="30" ht="13.5" customHeight="1">
      <c r="B30" s="3"/>
    </row>
    <row r="31" spans="3:10" ht="13.5" customHeight="1" thickBot="1">
      <c r="C31" s="2"/>
      <c r="E31" s="2"/>
      <c r="F31" s="2"/>
      <c r="G31" s="43">
        <f>G21/3</f>
        <v>0</v>
      </c>
      <c r="H31" s="44">
        <f>H21/H$13/3</f>
        <v>0</v>
      </c>
      <c r="I31" s="44">
        <f>I21/I$13/3</f>
        <v>0</v>
      </c>
      <c r="J31" s="387">
        <f>J21/J$13/3</f>
        <v>0</v>
      </c>
    </row>
    <row r="32" spans="2:10" ht="13.5" customHeight="1">
      <c r="B32" s="233"/>
      <c r="C32" s="2"/>
      <c r="E32" s="2"/>
      <c r="F32" s="100" t="s">
        <v>93</v>
      </c>
      <c r="G32" s="10">
        <v>0</v>
      </c>
      <c r="H32" s="10" t="s">
        <v>3</v>
      </c>
      <c r="I32" s="10" t="s">
        <v>4</v>
      </c>
      <c r="J32" s="10" t="s">
        <v>0</v>
      </c>
    </row>
    <row r="33" spans="2:10" ht="13.5" customHeight="1">
      <c r="B33" s="10" t="s">
        <v>2</v>
      </c>
      <c r="C33" s="177"/>
      <c r="E33" s="177"/>
      <c r="F33" s="10" t="s">
        <v>2</v>
      </c>
      <c r="G33" s="51">
        <f>G23/3</f>
        <v>34862.94203808329</v>
      </c>
      <c r="H33" s="52">
        <f aca="true" t="shared" si="0" ref="H33:J36">H23/H$13/3</f>
        <v>-333.3333333333333</v>
      </c>
      <c r="I33" s="53">
        <f t="shared" si="0"/>
        <v>-750</v>
      </c>
      <c r="J33" s="53">
        <f t="shared" si="0"/>
        <v>-2922</v>
      </c>
    </row>
    <row r="34" spans="2:10" ht="13.5" customHeight="1">
      <c r="B34" s="10" t="s">
        <v>3</v>
      </c>
      <c r="C34" s="223">
        <f>C24/C13</f>
        <v>80351.53797865685</v>
      </c>
      <c r="E34" s="223"/>
      <c r="F34" s="10" t="s">
        <v>3</v>
      </c>
      <c r="G34" s="295">
        <f>G24/3</f>
        <v>-13391.922996442772</v>
      </c>
      <c r="H34" s="60">
        <f t="shared" si="0"/>
        <v>166.66666666666666</v>
      </c>
      <c r="I34" s="61">
        <f t="shared" si="0"/>
        <v>150</v>
      </c>
      <c r="J34" s="61">
        <f t="shared" si="0"/>
        <v>333.3333333333333</v>
      </c>
    </row>
    <row r="35" spans="2:20" ht="13.5" customHeight="1">
      <c r="B35" s="10" t="s">
        <v>4</v>
      </c>
      <c r="C35" s="223">
        <f>C25/C13</f>
        <v>73446.32768361582</v>
      </c>
      <c r="E35" s="223"/>
      <c r="F35" s="10" t="s">
        <v>4</v>
      </c>
      <c r="G35" s="296">
        <f>G25/3</f>
        <v>-12241.054613935972</v>
      </c>
      <c r="H35" s="224">
        <f t="shared" si="0"/>
        <v>100</v>
      </c>
      <c r="I35" s="225">
        <f t="shared" si="0"/>
        <v>250</v>
      </c>
      <c r="J35" s="226">
        <f t="shared" si="0"/>
        <v>333.3333333333333</v>
      </c>
      <c r="T35" s="2"/>
    </row>
    <row r="36" spans="2:20" ht="13.5" customHeight="1" thickBot="1">
      <c r="B36" s="10" t="s">
        <v>0</v>
      </c>
      <c r="C36" s="235"/>
      <c r="E36" s="235">
        <f>E26/E13/3</f>
        <v>-37825.995393706115</v>
      </c>
      <c r="F36" s="10" t="s">
        <v>0</v>
      </c>
      <c r="G36" s="297">
        <f>G26/3</f>
        <v>-9229.964427704543</v>
      </c>
      <c r="H36" s="227">
        <f t="shared" si="0"/>
        <v>66.66666666666667</v>
      </c>
      <c r="I36" s="228">
        <f t="shared" si="0"/>
        <v>350</v>
      </c>
      <c r="J36" s="229">
        <f t="shared" si="0"/>
        <v>2255.3333333333335</v>
      </c>
      <c r="T36" s="2"/>
    </row>
    <row r="37" spans="2:20" ht="13.5" customHeight="1">
      <c r="B37" s="3"/>
      <c r="E37" s="2"/>
      <c r="F37" s="2"/>
      <c r="G37" s="2"/>
      <c r="H37" s="2"/>
      <c r="I37" s="2"/>
      <c r="J37" s="2"/>
      <c r="S37" s="2"/>
      <c r="T37" s="3"/>
    </row>
    <row r="38" spans="1:19" ht="13.5" customHeight="1">
      <c r="A38" s="2"/>
      <c r="B38" s="3"/>
      <c r="E38" s="2"/>
      <c r="F38" s="2"/>
      <c r="G38" s="2"/>
      <c r="H38" s="2"/>
      <c r="I38" s="2"/>
      <c r="J38" s="2"/>
      <c r="K38" s="2"/>
      <c r="S38" s="2"/>
    </row>
    <row r="39" spans="2:19" ht="13.5" customHeight="1" thickBot="1">
      <c r="B39" s="3"/>
      <c r="E39" s="2"/>
      <c r="F39" s="2"/>
      <c r="G39" s="43">
        <f>G31</f>
        <v>0</v>
      </c>
      <c r="H39" s="44">
        <f>H31</f>
        <v>0</v>
      </c>
      <c r="I39" s="44">
        <f>I31</f>
        <v>0</v>
      </c>
      <c r="J39" s="387">
        <f>J31</f>
        <v>0</v>
      </c>
      <c r="S39" s="2"/>
    </row>
    <row r="40" spans="2:20" ht="13.5" customHeight="1">
      <c r="B40" s="3"/>
      <c r="E40" s="2"/>
      <c r="F40" s="100" t="s">
        <v>94</v>
      </c>
      <c r="G40" s="10">
        <v>0</v>
      </c>
      <c r="H40" s="10" t="s">
        <v>3</v>
      </c>
      <c r="I40" s="10" t="s">
        <v>4</v>
      </c>
      <c r="J40" s="10" t="s">
        <v>0</v>
      </c>
      <c r="S40" s="2"/>
      <c r="T40" s="3"/>
    </row>
    <row r="41" spans="5:20" ht="13.5" customHeight="1">
      <c r="E41" s="177"/>
      <c r="F41" s="10" t="s">
        <v>2</v>
      </c>
      <c r="G41" s="51">
        <f>G33</f>
        <v>34862.94203808329</v>
      </c>
      <c r="H41" s="52">
        <f aca="true" t="shared" si="1" ref="H41:J44">H33</f>
        <v>-333.3333333333333</v>
      </c>
      <c r="I41" s="53">
        <f t="shared" si="1"/>
        <v>-750</v>
      </c>
      <c r="J41" s="53">
        <f t="shared" si="1"/>
        <v>-2922</v>
      </c>
      <c r="L41" s="2"/>
      <c r="T41" s="3"/>
    </row>
    <row r="42" spans="5:20" ht="13.5" customHeight="1">
      <c r="E42" s="223"/>
      <c r="F42" s="10" t="s">
        <v>3</v>
      </c>
      <c r="G42" s="295">
        <f>G34</f>
        <v>-13391.922996442772</v>
      </c>
      <c r="H42" s="60">
        <f t="shared" si="1"/>
        <v>166.66666666666666</v>
      </c>
      <c r="I42" s="61">
        <f t="shared" si="1"/>
        <v>150</v>
      </c>
      <c r="J42" s="61">
        <f t="shared" si="1"/>
        <v>333.3333333333333</v>
      </c>
      <c r="T42" s="3"/>
    </row>
    <row r="43" spans="2:18" ht="13.5" customHeight="1">
      <c r="B43" s="3"/>
      <c r="C43" s="420" t="s">
        <v>243</v>
      </c>
      <c r="E43" s="223"/>
      <c r="F43" s="10" t="s">
        <v>4</v>
      </c>
      <c r="G43" s="296">
        <f>G35</f>
        <v>-12241.054613935972</v>
      </c>
      <c r="H43" s="224">
        <f t="shared" si="1"/>
        <v>100</v>
      </c>
      <c r="I43" s="225">
        <f t="shared" si="1"/>
        <v>250</v>
      </c>
      <c r="J43" s="226">
        <f t="shared" si="1"/>
        <v>333.3333333333333</v>
      </c>
      <c r="N43" s="2"/>
      <c r="O43" s="2"/>
      <c r="P43" s="2"/>
      <c r="Q43" s="2"/>
      <c r="R43" s="2"/>
    </row>
    <row r="44" spans="3:17" ht="13.5" customHeight="1" thickBot="1">
      <c r="C44" s="421" t="s">
        <v>244</v>
      </c>
      <c r="E44" s="235">
        <f>E36</f>
        <v>-37825.995393706115</v>
      </c>
      <c r="F44" s="10" t="s">
        <v>0</v>
      </c>
      <c r="G44" s="297">
        <f>G36</f>
        <v>-9229.964427704543</v>
      </c>
      <c r="H44" s="227">
        <f t="shared" si="1"/>
        <v>66.66666666666667</v>
      </c>
      <c r="I44" s="228">
        <f t="shared" si="1"/>
        <v>350</v>
      </c>
      <c r="J44" s="229">
        <f t="shared" si="1"/>
        <v>2255.3333333333335</v>
      </c>
      <c r="N44" s="2"/>
      <c r="O44" s="2"/>
      <c r="P44" s="2"/>
      <c r="Q44" s="2"/>
    </row>
    <row r="45" spans="5:10" ht="13.5" customHeight="1">
      <c r="E45" s="2"/>
      <c r="F45" s="2"/>
      <c r="G45" s="2"/>
      <c r="H45" s="2"/>
      <c r="I45" s="2"/>
      <c r="J45" s="2"/>
    </row>
    <row r="46" spans="5:10" ht="13.5" customHeight="1">
      <c r="E46" s="2"/>
      <c r="F46" s="2"/>
      <c r="G46" s="2"/>
      <c r="H46" s="2"/>
      <c r="I46" s="2"/>
      <c r="J46" s="2"/>
    </row>
    <row r="47" spans="5:10" ht="13.5" customHeight="1" thickBot="1">
      <c r="E47" s="2"/>
      <c r="F47" s="2"/>
      <c r="G47" s="43">
        <f>G39</f>
        <v>0</v>
      </c>
      <c r="H47" s="44">
        <f>H39</f>
        <v>0</v>
      </c>
      <c r="I47" s="44">
        <f>I39</f>
        <v>0</v>
      </c>
      <c r="J47" s="387">
        <f>J39</f>
        <v>0</v>
      </c>
    </row>
    <row r="48" spans="5:10" ht="13.5" customHeight="1">
      <c r="E48" s="2"/>
      <c r="F48" s="100" t="s">
        <v>79</v>
      </c>
      <c r="G48" s="10">
        <v>0</v>
      </c>
      <c r="H48" s="10" t="s">
        <v>3</v>
      </c>
      <c r="I48" s="10" t="s">
        <v>4</v>
      </c>
      <c r="J48" s="10" t="s">
        <v>0</v>
      </c>
    </row>
    <row r="49" spans="5:10" ht="13.5" customHeight="1">
      <c r="E49" s="177"/>
      <c r="F49" s="10" t="s">
        <v>2</v>
      </c>
      <c r="G49" s="51">
        <f>G41</f>
        <v>34862.94203808329</v>
      </c>
      <c r="H49" s="52">
        <f aca="true" t="shared" si="2" ref="H49:J52">H41</f>
        <v>-333.3333333333333</v>
      </c>
      <c r="I49" s="53">
        <f t="shared" si="2"/>
        <v>-750</v>
      </c>
      <c r="J49" s="53">
        <f t="shared" si="2"/>
        <v>-2922</v>
      </c>
    </row>
    <row r="50" spans="5:10" ht="13.5" customHeight="1">
      <c r="E50" s="223"/>
      <c r="F50" s="10" t="s">
        <v>3</v>
      </c>
      <c r="G50" s="295">
        <f>G42</f>
        <v>-13391.922996442772</v>
      </c>
      <c r="H50" s="60">
        <f t="shared" si="2"/>
        <v>166.66666666666666</v>
      </c>
      <c r="I50" s="61">
        <f t="shared" si="2"/>
        <v>150</v>
      </c>
      <c r="J50" s="61">
        <f t="shared" si="2"/>
        <v>333.3333333333333</v>
      </c>
    </row>
    <row r="51" spans="5:10" ht="13.5" customHeight="1">
      <c r="E51" s="223"/>
      <c r="F51" s="10" t="s">
        <v>4</v>
      </c>
      <c r="G51" s="296">
        <f>G43</f>
        <v>-12241.054613935972</v>
      </c>
      <c r="H51" s="224">
        <f t="shared" si="2"/>
        <v>100</v>
      </c>
      <c r="I51" s="225">
        <f t="shared" si="2"/>
        <v>250</v>
      </c>
      <c r="J51" s="226">
        <f t="shared" si="2"/>
        <v>333.3333333333333</v>
      </c>
    </row>
    <row r="52" spans="5:10" ht="13.5" customHeight="1" thickBot="1">
      <c r="E52" s="235">
        <f>E44</f>
        <v>-37825.995393706115</v>
      </c>
      <c r="F52" s="10" t="s">
        <v>0</v>
      </c>
      <c r="G52" s="297">
        <f>G44</f>
        <v>-9229.964427704543</v>
      </c>
      <c r="H52" s="227">
        <f t="shared" si="2"/>
        <v>66.66666666666667</v>
      </c>
      <c r="I52" s="228">
        <f t="shared" si="2"/>
        <v>350</v>
      </c>
      <c r="J52" s="229">
        <f t="shared" si="2"/>
        <v>2255.3333333333335</v>
      </c>
    </row>
    <row r="53" ht="13.5" customHeight="1"/>
    <row r="54" ht="13.5" customHeight="1"/>
    <row r="55" ht="13.5" customHeight="1" thickBot="1">
      <c r="J55" s="369">
        <f>Utility!H31/J13</f>
        <v>-10219.742864345546</v>
      </c>
    </row>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5.75" customHeight="1"/>
    <row r="102" ht="15.75" customHeight="1"/>
    <row r="103" ht="15.75" customHeight="1"/>
    <row r="104" ht="15.75" customHeight="1"/>
    <row r="105" ht="15.75" customHeight="1"/>
    <row r="106" ht="15.75" customHeight="1"/>
    <row r="107" ht="15.75" customHeight="1"/>
    <row r="108" ht="15.75" customHeight="1"/>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r:id="rId4"/>
  <drawing r:id="rId3"/>
  <legacyDrawing r:id="rId2"/>
  <oleObjects>
    <oleObject progId="Adobe Photoshop Image" shapeId="380579"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SFEcon</dc:creator>
  <cp:keywords/>
  <dc:description/>
  <cp:lastModifiedBy>SFEcon</cp:lastModifiedBy>
  <dcterms:created xsi:type="dcterms:W3CDTF">2011-03-02T23:28:03Z</dcterms:created>
  <dcterms:modified xsi:type="dcterms:W3CDTF">2015-07-08T18:35:14Z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