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845" windowWidth="14670" windowHeight="11640" tabRatio="377" activeTab="0"/>
  </bookViews>
  <sheets>
    <sheet name="Read Me" sheetId="1" r:id="rId1"/>
    <sheet name="1 DT" sheetId="2" r:id="rId2"/>
    <sheet name="Graphs" sheetId="3" r:id="rId3"/>
    <sheet name="Series" sheetId="4" r:id="rId4"/>
    <sheet name="Init" sheetId="5" r:id="rId5"/>
  </sheets>
  <externalReferences>
    <externalReference r:id="rId8"/>
  </externalReferences>
  <definedNames>
    <definedName name="_Regression_Int" localSheetId="4" hidden="1">1</definedName>
    <definedName name="BI">'1 DT'!$L$32</definedName>
    <definedName name="BOX" localSheetId="4">'Series'!$C$8:$P$38</definedName>
    <definedName name="BOX" localSheetId="3">'Series'!$C$8:$N$40</definedName>
    <definedName name="BUFFER" localSheetId="3">'Series'!$C$5:$N$5</definedName>
    <definedName name="Capital">'1 DT'!$G$23:$G$27</definedName>
    <definedName name="Chi">'1 DT'!$S$47</definedName>
    <definedName name="DT">'1 DT'!$B$25</definedName>
    <definedName name="Gamma">'1 DT'!$I$18</definedName>
    <definedName name="ICapital">'Init'!$M$25:$M$29</definedName>
    <definedName name="ISave">'Init'!$O$25:$O$43</definedName>
    <definedName name="ISData">'Series'!$S$16:$T$36</definedName>
    <definedName name="IState">'Init'!$Q$25:$S$46</definedName>
    <definedName name="ITerm">'Init'!$C$19</definedName>
    <definedName name="IUij">'Init'!$F$34:$G$36</definedName>
    <definedName name="IVj">'Init'!$F$19:$G$19</definedName>
    <definedName name="IZl">'Init'!$S$46</definedName>
    <definedName name="Kappa">'1 DT'!$G$18</definedName>
    <definedName name="KI">'1 DT'!$G$26</definedName>
    <definedName name="NCapital">'1 DT'!$G$73:$G$77</definedName>
    <definedName name="NLINE">'Series'!$C$39</definedName>
    <definedName name="NPV">'1 DT'!$I$53</definedName>
    <definedName name="NSave">'1 DT'!$I$73:$I$91</definedName>
    <definedName name="NState">'1 DT'!$K$73:$M$94</definedName>
    <definedName name="NTerm">'1 DT'!$I$94</definedName>
    <definedName name="Nu" localSheetId="4">'[1]X2X2'!#REF!</definedName>
    <definedName name="Nu">'1 DT'!$G$8</definedName>
    <definedName name="P0">'1 DT'!$AG$47</definedName>
    <definedName name="Per">'1 DT'!$B$26</definedName>
    <definedName name="S0">'1 DT'!$U$43</definedName>
    <definedName name="Save">'1 DT'!$I$23:$I$41</definedName>
    <definedName name="SData">'Series'!$U$16:$V$36</definedName>
    <definedName name="Sigma0">'1 DT'!#REF!</definedName>
    <definedName name="Simlen">'1 DT'!$B$24</definedName>
    <definedName name="State">'1 DT'!$K$23:$M$44</definedName>
    <definedName name="Term">'1 DT'!$I$44</definedName>
    <definedName name="TicToc">'1 DT'!$B$27</definedName>
    <definedName name="Uij">'1 DT'!$AH$6:$AI$8</definedName>
    <definedName name="Ull">'1 DT'!$AI$8</definedName>
    <definedName name="V0">'1 DT'!$K$8</definedName>
    <definedName name="Vj">'1 DT'!$L$8:$M$8</definedName>
    <definedName name="Z0">'1 DT'!$AG$6</definedName>
    <definedName name="ZI">'1 DT'!$AH$6</definedName>
    <definedName name="Zl">'1 DT'!$AK$8</definedName>
  </definedNames>
  <calcPr fullCalcOnLoad="1"/>
</workbook>
</file>

<file path=xl/comments2.xml><?xml version="1.0" encoding="utf-8"?>
<comments xmlns="http://schemas.openxmlformats.org/spreadsheetml/2006/main">
  <authors>
    <author>Author</author>
  </authors>
  <commentList>
    <comment ref="B41" authorId="0">
      <text>
        <r>
          <rPr>
            <b/>
            <sz val="8"/>
            <rFont val="Tahoma"/>
            <family val="0"/>
          </rPr>
          <t xml:space="preserve">The 'Advance One DT' button overlays the model's current state with its next state each time it is clicked.
This feature is intended for use in tracking down instabilities that might result from changes to the model's initial structure.
</t>
        </r>
        <r>
          <rPr>
            <sz val="8"/>
            <rFont val="Tahoma"/>
            <family val="0"/>
          </rPr>
          <t xml:space="preserve">
</t>
        </r>
      </text>
    </comment>
    <comment ref="B6" authorId="0">
      <text>
        <r>
          <rPr>
            <b/>
            <sz val="8"/>
            <rFont val="Tahoma"/>
            <family val="0"/>
          </rPr>
          <t>SFEcon theory is explicated at:
     www.sfecon.com</t>
        </r>
      </text>
    </comment>
    <comment ref="B32" authorId="0">
      <text>
        <r>
          <rPr>
            <b/>
            <sz val="8"/>
            <rFont val="Tahoma"/>
            <family val="0"/>
          </rPr>
          <t>The 'Simulate Time' button launches the model onto the dimension of time.  Time advances by recursively overlaying the system's current state with its next state, which is computed at one differential time element DT in the future.
This process creates graphically advancing time series as it advances TIME trough the requisite number of DT's needed to arrive the the desired length of simulation SIMLEN.
The process stops automatically when SIMLEN is reached, having sampled the time series generated at intervals defined by PER.  This requires only a few seconds, after which control returns to Excel.
All the simulation parameters, TIME, DT, PER, and SIMLEN are measured in years.  The SIMLEN parameter can be changed at will to alter the period to be simulated.  The other parameters should NOT require alteration.</t>
        </r>
      </text>
    </comment>
    <comment ref="B27" authorId="0">
      <text>
        <r>
          <rPr>
            <b/>
            <sz val="8"/>
            <rFont val="Tahoma"/>
            <family val="2"/>
          </rPr>
          <t>The simulation parameters, SIMLEN, DT, PER, and TIME are measured in years.
The SIMLEN parameter can be changed at will to alter the period to be simulated.  The other parameters should NOT require alteration.
DT is the diferential element of time between calculations of the model's state via numerical integaration.
PER is the interval at which the model's time radiants are sampled, given the intention to plot thirty points from any series.
TIME marks the emulation's current progress.</t>
        </r>
      </text>
    </comment>
    <comment ref="B21" authorId="0">
      <text>
        <r>
          <rPr>
            <b/>
            <sz val="8"/>
            <rFont val="Tahoma"/>
            <family val="0"/>
          </rPr>
          <t xml:space="preserve">Three stimuli are programmed in order to provoke responses from the model:
1.  The 'Plastic' stimulation makes Sector 1 a more efficient user of all its inputs.
2.  The 'Elastic' stimulation deposits a quantity of Good 1 on the market.
3. The 'Monetary' stimulation injects a quantum of money into the financial positions.
Other stimuli can be investigated by directly changing state variables or boundary conditions in this spreadsheet prior to simulation.
</t>
        </r>
        <r>
          <rPr>
            <sz val="8"/>
            <rFont val="Tahoma"/>
            <family val="0"/>
          </rPr>
          <t xml:space="preserve">
</t>
        </r>
      </text>
    </comment>
    <comment ref="B13" authorId="0">
      <text>
        <r>
          <rPr>
            <b/>
            <sz val="8"/>
            <rFont val="Tahoma"/>
            <family val="0"/>
          </rPr>
          <t xml:space="preserve">The 'Reinitiate' button returns the system's state and parameters to the initial optimal steady state calculated on the 'Init' Sheet.
It also clears away any time-series data generated by prior experiments.
The model should be reinitiated prior to any simulation.
</t>
        </r>
        <r>
          <rPr>
            <sz val="8"/>
            <rFont val="Tahoma"/>
            <family val="0"/>
          </rPr>
          <t xml:space="preserve">
</t>
        </r>
      </text>
    </comment>
  </commentList>
</comments>
</file>

<file path=xl/sharedStrings.xml><?xml version="1.0" encoding="utf-8"?>
<sst xmlns="http://schemas.openxmlformats.org/spreadsheetml/2006/main" count="544" uniqueCount="194">
  <si>
    <t>a</t>
  </si>
  <si>
    <t>0</t>
  </si>
  <si>
    <t>L</t>
  </si>
  <si>
    <t>pq</t>
  </si>
  <si>
    <t>b</t>
  </si>
  <si>
    <t>c</t>
  </si>
  <si>
    <t>^ P</t>
  </si>
  <si>
    <t>INITIAL</t>
  </si>
  <si>
    <t>S</t>
  </si>
  <si>
    <t>D</t>
  </si>
  <si>
    <t>BUFFER -&gt;</t>
  </si>
  <si>
    <t>n</t>
  </si>
  <si>
    <t>pu</t>
  </si>
  <si>
    <t>year</t>
  </si>
  <si>
    <t>BOX:</t>
  </si>
  <si>
    <t>s</t>
  </si>
  <si>
    <t>d</t>
  </si>
  <si>
    <t>I</t>
  </si>
  <si>
    <r>
      <t>Y</t>
    </r>
    <r>
      <rPr>
        <b/>
        <vertAlign val="subscript"/>
        <sz val="12"/>
        <rFont val="Symbol"/>
        <family val="1"/>
      </rPr>
      <t>1</t>
    </r>
  </si>
  <si>
    <r>
      <t>D</t>
    </r>
    <r>
      <rPr>
        <b/>
        <vertAlign val="subscript"/>
        <sz val="12"/>
        <rFont val="Symbol"/>
        <family val="1"/>
      </rPr>
      <t>1</t>
    </r>
  </si>
  <si>
    <r>
      <t>z</t>
    </r>
    <r>
      <rPr>
        <b/>
        <sz val="10"/>
        <color indexed="16"/>
        <rFont val="Symbol"/>
        <family val="1"/>
      </rPr>
      <t xml:space="preserve"> </t>
    </r>
    <r>
      <rPr>
        <b/>
        <sz val="10"/>
        <color indexed="16"/>
        <rFont val="MS Sans Serif"/>
        <family val="2"/>
      </rPr>
      <t>&gt;</t>
    </r>
  </si>
  <si>
    <t>r</t>
  </si>
  <si>
    <r>
      <t>P</t>
    </r>
    <r>
      <rPr>
        <b/>
        <vertAlign val="subscript"/>
        <sz val="10"/>
        <rFont val="Courier"/>
        <family val="3"/>
      </rPr>
      <t>1</t>
    </r>
  </si>
  <si>
    <r>
      <t>MC</t>
    </r>
    <r>
      <rPr>
        <b/>
        <vertAlign val="subscript"/>
        <sz val="10"/>
        <rFont val="Courier"/>
        <family val="3"/>
      </rPr>
      <t>1</t>
    </r>
  </si>
  <si>
    <r>
      <t>VMP</t>
    </r>
    <r>
      <rPr>
        <b/>
        <vertAlign val="subscript"/>
        <sz val="10"/>
        <rFont val="Courier"/>
        <family val="3"/>
      </rPr>
      <t>1</t>
    </r>
  </si>
  <si>
    <t>Interest Rate</t>
  </si>
  <si>
    <t>Wage</t>
  </si>
  <si>
    <t>Investment Term</t>
  </si>
  <si>
    <r>
      <t>Z</t>
    </r>
    <r>
      <rPr>
        <vertAlign val="subscript"/>
        <sz val="10"/>
        <rFont val="Arial"/>
        <family val="2"/>
      </rPr>
      <t>1</t>
    </r>
  </si>
  <si>
    <r>
      <t>Q</t>
    </r>
    <r>
      <rPr>
        <vertAlign val="subscript"/>
        <sz val="10"/>
        <rFont val="Arial"/>
        <family val="2"/>
      </rPr>
      <t>1</t>
    </r>
  </si>
  <si>
    <t>z</t>
  </si>
  <si>
    <t>Time Series of Output, Supply and Demand</t>
  </si>
  <si>
    <t>Time Series of Price, Marginal Cost, and</t>
  </si>
  <si>
    <t>Supply and Demand Schedules</t>
  </si>
  <si>
    <t>Time Series of Interest Rates</t>
  </si>
  <si>
    <t>for Good #1</t>
  </si>
  <si>
    <r>
      <t>Q</t>
    </r>
    <r>
      <rPr>
        <b/>
        <vertAlign val="subscript"/>
        <sz val="10"/>
        <color indexed="16"/>
        <rFont val="Arial"/>
        <family val="2"/>
      </rPr>
      <t>1</t>
    </r>
    <r>
      <rPr>
        <b/>
        <sz val="10"/>
        <color indexed="16"/>
        <rFont val="Arial"/>
        <family val="2"/>
      </rPr>
      <t xml:space="preserve"> </t>
    </r>
    <r>
      <rPr>
        <b/>
        <sz val="10"/>
        <color indexed="16"/>
        <rFont val="MS Sans Serif"/>
        <family val="2"/>
      </rPr>
      <t>&gt;</t>
    </r>
  </si>
  <si>
    <r>
      <t xml:space="preserve">Z  </t>
    </r>
    <r>
      <rPr>
        <b/>
        <sz val="10"/>
        <color indexed="16"/>
        <rFont val="MS Sans Serif"/>
        <family val="2"/>
      </rPr>
      <t>&lt;</t>
    </r>
  </si>
  <si>
    <r>
      <t>U</t>
    </r>
    <r>
      <rPr>
        <b/>
        <vertAlign val="subscript"/>
        <sz val="10"/>
        <color indexed="16"/>
        <rFont val="Arial"/>
        <family val="2"/>
      </rPr>
      <t>1</t>
    </r>
    <r>
      <rPr>
        <b/>
        <sz val="10"/>
        <color indexed="16"/>
        <rFont val="Arial"/>
        <family val="2"/>
      </rPr>
      <t xml:space="preserve"> </t>
    </r>
    <r>
      <rPr>
        <b/>
        <sz val="10"/>
        <color indexed="16"/>
        <rFont val="MS Sans Serif"/>
        <family val="2"/>
      </rPr>
      <t>&lt;</t>
    </r>
  </si>
  <si>
    <t>Marginal Values for Good #1</t>
  </si>
  <si>
    <r>
      <t>S</t>
    </r>
    <r>
      <rPr>
        <b/>
        <vertAlign val="subscript"/>
        <sz val="12"/>
        <rFont val="Symbol"/>
        <family val="1"/>
      </rPr>
      <t>1</t>
    </r>
  </si>
  <si>
    <t>and tne Currency Value</t>
  </si>
  <si>
    <r>
      <t>P</t>
    </r>
    <r>
      <rPr>
        <b/>
        <vertAlign val="subscript"/>
        <sz val="10"/>
        <rFont val="Courier"/>
        <family val="3"/>
      </rPr>
      <t>*</t>
    </r>
  </si>
  <si>
    <t xml:space="preserve">Experimenters are invited to change </t>
  </si>
  <si>
    <t>appears within this marquee.</t>
  </si>
  <si>
    <t>P</t>
  </si>
  <si>
    <t xml:space="preserve">      yrs.</t>
  </si>
  <si>
    <r>
      <t>VMP</t>
    </r>
    <r>
      <rPr>
        <b/>
        <vertAlign val="subscript"/>
        <sz val="10"/>
        <rFont val="Courier"/>
        <family val="3"/>
      </rPr>
      <t>L</t>
    </r>
  </si>
  <si>
    <r>
      <t>A</t>
    </r>
  </si>
  <si>
    <t>B</t>
  </si>
  <si>
    <t>C</t>
  </si>
  <si>
    <t>R</t>
  </si>
  <si>
    <t>V</t>
  </si>
  <si>
    <t>PR</t>
  </si>
  <si>
    <r>
      <t>U</t>
    </r>
  </si>
  <si>
    <r>
      <t>Q</t>
    </r>
    <r>
      <rPr>
        <b/>
        <vertAlign val="subscript"/>
        <sz val="10"/>
        <color indexed="16"/>
        <rFont val="Arial"/>
        <family val="2"/>
      </rPr>
      <t>2</t>
    </r>
    <r>
      <rPr>
        <b/>
        <sz val="10"/>
        <color indexed="16"/>
        <rFont val="Arial"/>
        <family val="2"/>
      </rPr>
      <t xml:space="preserve"> </t>
    </r>
    <r>
      <rPr>
        <b/>
        <sz val="10"/>
        <color indexed="16"/>
        <rFont val="MS Sans Serif"/>
        <family val="2"/>
      </rPr>
      <t>&gt;</t>
    </r>
  </si>
  <si>
    <r>
      <t>U</t>
    </r>
    <r>
      <rPr>
        <b/>
        <vertAlign val="subscript"/>
        <sz val="10"/>
        <color indexed="16"/>
        <rFont val="Arial"/>
        <family val="2"/>
      </rPr>
      <t>2</t>
    </r>
    <r>
      <rPr>
        <b/>
        <sz val="10"/>
        <color indexed="16"/>
        <rFont val="Arial"/>
        <family val="2"/>
      </rPr>
      <t xml:space="preserve"> </t>
    </r>
    <r>
      <rPr>
        <b/>
        <sz val="10"/>
        <color indexed="16"/>
        <rFont val="MS Sans Serif"/>
        <family val="2"/>
      </rPr>
      <t>&lt;</t>
    </r>
  </si>
  <si>
    <t>u</t>
  </si>
  <si>
    <t>Z</t>
  </si>
  <si>
    <t>H</t>
  </si>
  <si>
    <t>h</t>
  </si>
  <si>
    <t>e</t>
  </si>
  <si>
    <t>Y</t>
  </si>
  <si>
    <t>w</t>
  </si>
  <si>
    <t>W</t>
  </si>
  <si>
    <t>u + e</t>
  </si>
  <si>
    <t>l</t>
  </si>
  <si>
    <t>Q</t>
  </si>
  <si>
    <t>SIMLEN:</t>
  </si>
  <si>
    <t>DT:</t>
  </si>
  <si>
    <t>PER:</t>
  </si>
  <si>
    <t>TIME:</t>
  </si>
  <si>
    <t>__</t>
  </si>
  <si>
    <t>U</t>
  </si>
  <si>
    <t>hb</t>
  </si>
  <si>
    <t xml:space="preserve">    Optimal</t>
  </si>
  <si>
    <t xml:space="preserve">    Change</t>
  </si>
  <si>
    <t xml:space="preserve">       1      </t>
  </si>
  <si>
    <t>F</t>
  </si>
  <si>
    <r>
      <t xml:space="preserve">- </t>
    </r>
    <r>
      <rPr>
        <b/>
        <sz val="10"/>
        <color indexed="16"/>
        <rFont val="Arial"/>
        <family val="2"/>
      </rPr>
      <t>N</t>
    </r>
  </si>
  <si>
    <r>
      <t xml:space="preserve">- </t>
    </r>
    <r>
      <rPr>
        <b/>
        <sz val="10"/>
        <color indexed="12"/>
        <rFont val="Arial"/>
        <family val="2"/>
      </rPr>
      <t>Y/</t>
    </r>
    <r>
      <rPr>
        <b/>
        <sz val="12"/>
        <color indexed="12"/>
        <rFont val="Symbol"/>
        <family val="1"/>
      </rPr>
      <t>l</t>
    </r>
  </si>
  <si>
    <r>
      <t>E</t>
    </r>
  </si>
  <si>
    <r>
      <t>l</t>
    </r>
    <r>
      <rPr>
        <b/>
        <sz val="10"/>
        <color indexed="12"/>
        <rFont val="Arial"/>
        <family val="2"/>
      </rPr>
      <t>/Z</t>
    </r>
  </si>
  <si>
    <r>
      <t>m</t>
    </r>
  </si>
  <si>
    <r>
      <t xml:space="preserve"> </t>
    </r>
    <r>
      <rPr>
        <b/>
        <sz val="10"/>
        <color indexed="16"/>
        <rFont val="MS Sans Serif"/>
        <family val="2"/>
      </rPr>
      <t>&lt;</t>
    </r>
    <r>
      <rPr>
        <b/>
        <sz val="10"/>
        <color indexed="16"/>
        <rFont val="Arial"/>
        <family val="2"/>
      </rPr>
      <t xml:space="preserve"> eXports  ( </t>
    </r>
    <r>
      <rPr>
        <b/>
        <sz val="12"/>
        <color indexed="16"/>
        <rFont val="Symbol"/>
        <family val="1"/>
      </rPr>
      <t>+</t>
    </r>
    <r>
      <rPr>
        <b/>
        <sz val="10"/>
        <color indexed="16"/>
        <rFont val="Arial"/>
        <family val="2"/>
      </rPr>
      <t xml:space="preserve"> )</t>
    </r>
  </si>
  <si>
    <r>
      <t>G</t>
    </r>
    <r>
      <rPr>
        <b/>
        <sz val="12"/>
        <rFont val="Symbol"/>
        <family val="1"/>
      </rPr>
      <t>/</t>
    </r>
    <r>
      <rPr>
        <b/>
        <sz val="10"/>
        <color indexed="17"/>
        <rFont val="Arial"/>
        <family val="2"/>
      </rPr>
      <t>$</t>
    </r>
  </si>
  <si>
    <r>
      <t>H</t>
    </r>
    <r>
      <rPr>
        <b/>
        <sz val="12"/>
        <color indexed="17"/>
        <rFont val="Symbol"/>
        <family val="1"/>
      </rPr>
      <t>b</t>
    </r>
  </si>
  <si>
    <r>
      <t xml:space="preserve"> </t>
    </r>
    <r>
      <rPr>
        <b/>
        <sz val="10"/>
        <color indexed="16"/>
        <rFont val="MS Sans Serif"/>
        <family val="2"/>
      </rPr>
      <t>&lt;</t>
    </r>
    <r>
      <rPr>
        <b/>
        <sz val="10"/>
        <color indexed="16"/>
        <rFont val="Arial"/>
        <family val="2"/>
      </rPr>
      <t xml:space="preserve"> Rates of</t>
    </r>
  </si>
  <si>
    <r>
      <t>U</t>
    </r>
    <r>
      <rPr>
        <vertAlign val="subscript"/>
        <sz val="10"/>
        <rFont val="Arial"/>
        <family val="2"/>
      </rPr>
      <t>1-2</t>
    </r>
  </si>
  <si>
    <t>t</t>
  </si>
  <si>
    <r>
      <t xml:space="preserve"> </t>
    </r>
    <r>
      <rPr>
        <b/>
        <sz val="10"/>
        <color indexed="16"/>
        <rFont val="MS Sans Serif"/>
        <family val="2"/>
      </rPr>
      <t>&lt; Demand</t>
    </r>
    <r>
      <rPr>
        <b/>
        <sz val="10"/>
        <color indexed="16"/>
        <rFont val="Arial"/>
        <family val="2"/>
      </rPr>
      <t xml:space="preserve"> Factors</t>
    </r>
  </si>
  <si>
    <t>g</t>
  </si>
  <si>
    <r>
      <t xml:space="preserve"> Dividends </t>
    </r>
    <r>
      <rPr>
        <b/>
        <sz val="10"/>
        <color indexed="17"/>
        <rFont val="MS Sans Serif"/>
        <family val="2"/>
      </rPr>
      <t xml:space="preserve">&gt; </t>
    </r>
  </si>
  <si>
    <r>
      <t xml:space="preserve">    imports ( </t>
    </r>
    <r>
      <rPr>
        <b/>
        <sz val="12"/>
        <color indexed="16"/>
        <rFont val="Symbol"/>
        <family val="1"/>
      </rPr>
      <t>-</t>
    </r>
    <r>
      <rPr>
        <b/>
        <sz val="10"/>
        <color indexed="16"/>
        <rFont val="Arial"/>
        <family val="2"/>
      </rPr>
      <t xml:space="preserve"> )</t>
    </r>
  </si>
  <si>
    <t>$/$</t>
  </si>
  <si>
    <t xml:space="preserve">    Monetary</t>
  </si>
  <si>
    <r>
      <t xml:space="preserve"> </t>
    </r>
    <r>
      <rPr>
        <b/>
        <sz val="10"/>
        <color indexed="17"/>
        <rFont val="MS Sans Serif"/>
        <family val="2"/>
      </rPr>
      <t>&lt;</t>
    </r>
    <r>
      <rPr>
        <b/>
        <sz val="10"/>
        <color indexed="17"/>
        <rFont val="Arial"/>
        <family val="2"/>
      </rPr>
      <t xml:space="preserve"> Transactions</t>
    </r>
  </si>
  <si>
    <r>
      <t xml:space="preserve">1/(N </t>
    </r>
    <r>
      <rPr>
        <b/>
        <sz val="12"/>
        <color indexed="16"/>
        <rFont val="Symbol"/>
        <family val="1"/>
      </rPr>
      <t>+</t>
    </r>
    <r>
      <rPr>
        <b/>
        <sz val="10"/>
        <color indexed="16"/>
        <rFont val="Arial"/>
        <family val="2"/>
      </rPr>
      <t xml:space="preserve"> 1)</t>
    </r>
  </si>
  <si>
    <t>k</t>
  </si>
  <si>
    <t>-n</t>
  </si>
  <si>
    <t>Investment</t>
  </si>
  <si>
    <t>Saving</t>
  </si>
  <si>
    <t>NPV</t>
  </si>
  <si>
    <r>
      <t xml:space="preserve">     </t>
    </r>
    <r>
      <rPr>
        <b/>
        <sz val="10"/>
        <color indexed="16"/>
        <rFont val="Arial"/>
        <family val="2"/>
      </rPr>
      <t>at time = t</t>
    </r>
    <r>
      <rPr>
        <b/>
        <sz val="12"/>
        <color indexed="16"/>
        <rFont val="Symbol"/>
        <family val="1"/>
      </rPr>
      <t xml:space="preserve"> </t>
    </r>
    <r>
      <rPr>
        <b/>
        <sz val="10"/>
        <color indexed="16"/>
        <rFont val="MS Sans Serif"/>
        <family val="2"/>
      </rPr>
      <t>&gt;</t>
    </r>
  </si>
  <si>
    <r>
      <t xml:space="preserve">     </t>
    </r>
    <r>
      <rPr>
        <b/>
        <sz val="10"/>
        <color indexed="16"/>
        <rFont val="Arial"/>
        <family val="2"/>
      </rPr>
      <t xml:space="preserve">at time = t </t>
    </r>
    <r>
      <rPr>
        <b/>
        <sz val="12"/>
        <color indexed="16"/>
        <rFont val="Symbol"/>
        <family val="1"/>
      </rPr>
      <t xml:space="preserve">+ D </t>
    </r>
    <r>
      <rPr>
        <b/>
        <sz val="10"/>
        <color indexed="16"/>
        <rFont val="MS Sans Serif"/>
        <family val="2"/>
      </rPr>
      <t>&gt;</t>
    </r>
  </si>
  <si>
    <r>
      <t>any data set in</t>
    </r>
    <r>
      <rPr>
        <b/>
        <sz val="12"/>
        <color indexed="10"/>
        <rFont val="Arial"/>
        <family val="2"/>
      </rPr>
      <t xml:space="preserve"> red</t>
    </r>
    <r>
      <rPr>
        <b/>
        <sz val="12"/>
        <rFont val="Arial"/>
        <family val="2"/>
      </rPr>
      <t xml:space="preserve"> type that</t>
    </r>
  </si>
  <si>
    <r>
      <t>x</t>
    </r>
    <r>
      <rPr>
        <b/>
        <sz val="10"/>
        <color indexed="16"/>
        <rFont val="Symbol"/>
        <family val="1"/>
      </rPr>
      <t xml:space="preserve">  </t>
    </r>
    <r>
      <rPr>
        <b/>
        <sz val="10"/>
        <color indexed="16"/>
        <rFont val="MS Sans Serif"/>
        <family val="2"/>
      </rPr>
      <t>&gt;</t>
    </r>
  </si>
  <si>
    <t>hz</t>
  </si>
  <si>
    <r>
      <t>H</t>
    </r>
    <r>
      <rPr>
        <b/>
        <sz val="12"/>
        <color indexed="17"/>
        <rFont val="Symbol"/>
        <family val="1"/>
      </rPr>
      <t>z</t>
    </r>
  </si>
  <si>
    <t>p</t>
  </si>
  <si>
    <t>T</t>
  </si>
  <si>
    <t>PU</t>
  </si>
  <si>
    <t>b = e/w</t>
  </si>
  <si>
    <r>
      <t xml:space="preserve">of Utility </t>
    </r>
    <r>
      <rPr>
        <b/>
        <sz val="10"/>
        <color indexed="16"/>
        <rFont val="MS Sans Serif"/>
        <family val="2"/>
      </rPr>
      <t xml:space="preserve">&gt; </t>
    </r>
  </si>
  <si>
    <r>
      <t xml:space="preserve"> </t>
    </r>
    <r>
      <rPr>
        <b/>
        <sz val="10"/>
        <color indexed="12"/>
        <rFont val="MS Sans Serif"/>
        <family val="2"/>
      </rPr>
      <t>&lt;</t>
    </r>
    <r>
      <rPr>
        <b/>
        <sz val="10"/>
        <color indexed="12"/>
        <rFont val="Arial"/>
        <family val="2"/>
      </rPr>
      <t xml:space="preserve"> Output (</t>
    </r>
    <r>
      <rPr>
        <b/>
        <sz val="12"/>
        <color indexed="12"/>
        <rFont val="Symbol"/>
        <family val="1"/>
      </rPr>
      <t>-</t>
    </r>
    <r>
      <rPr>
        <b/>
        <sz val="10"/>
        <color indexed="12"/>
        <rFont val="Arial"/>
        <family val="2"/>
      </rPr>
      <t>)</t>
    </r>
  </si>
  <si>
    <t xml:space="preserve">Cost of Sales   </t>
  </si>
  <si>
    <r>
      <t xml:space="preserve">Minus Sales </t>
    </r>
    <r>
      <rPr>
        <b/>
        <sz val="10"/>
        <color indexed="17"/>
        <rFont val="MS Sans Serif"/>
        <family val="2"/>
      </rPr>
      <t>&gt;</t>
    </r>
  </si>
  <si>
    <r>
      <t xml:space="preserve">S/D Schedules </t>
    </r>
    <r>
      <rPr>
        <b/>
        <sz val="10"/>
        <color indexed="16"/>
        <rFont val="MS Sans Serif"/>
        <family val="2"/>
      </rPr>
      <t>&gt;</t>
    </r>
  </si>
  <si>
    <r>
      <t xml:space="preserve">Values of </t>
    </r>
    <r>
      <rPr>
        <b/>
        <sz val="10"/>
        <color indexed="16"/>
        <rFont val="MS Sans Serif"/>
        <family val="2"/>
      </rPr>
      <t xml:space="preserve">&gt; </t>
    </r>
  </si>
  <si>
    <t xml:space="preserve">Interaction   </t>
  </si>
  <si>
    <t xml:space="preserve">with Prices   </t>
  </si>
  <si>
    <t xml:space="preserve">of Money   </t>
  </si>
  <si>
    <t xml:space="preserve">Marginal Product   </t>
  </si>
  <si>
    <t xml:space="preserve">Intersection of   </t>
  </si>
  <si>
    <r>
      <t xml:space="preserve">   $</t>
    </r>
    <r>
      <rPr>
        <b/>
        <sz val="10"/>
        <rFont val="Arial"/>
        <family val="2"/>
      </rPr>
      <t>/unit</t>
    </r>
  </si>
  <si>
    <r>
      <t xml:space="preserve">     </t>
    </r>
    <r>
      <rPr>
        <b/>
        <sz val="10"/>
        <color indexed="16"/>
        <rFont val="Arial"/>
        <family val="2"/>
      </rPr>
      <t>System State</t>
    </r>
  </si>
  <si>
    <r>
      <t>Calculation</t>
    </r>
    <r>
      <rPr>
        <b/>
        <sz val="12"/>
        <color indexed="16"/>
        <rFont val="Symbol"/>
        <family val="1"/>
      </rPr>
      <t xml:space="preserve"> </t>
    </r>
    <r>
      <rPr>
        <b/>
        <sz val="10"/>
        <color indexed="16"/>
        <rFont val="MS Sans Serif"/>
        <family val="2"/>
      </rPr>
      <t>&gt;</t>
    </r>
  </si>
  <si>
    <t>Spatial Parameters,</t>
  </si>
  <si>
    <r>
      <t>(1-1/</t>
    </r>
    <r>
      <rPr>
        <b/>
        <sz val="8"/>
        <color indexed="16"/>
        <rFont val="Arial"/>
        <family val="2"/>
      </rPr>
      <t>NPV</t>
    </r>
    <r>
      <rPr>
        <b/>
        <sz val="10"/>
        <color indexed="16"/>
        <rFont val="Arial"/>
        <family val="2"/>
      </rPr>
      <t>)/T</t>
    </r>
  </si>
  <si>
    <r>
      <t>1</t>
    </r>
    <r>
      <rPr>
        <b/>
        <sz val="12"/>
        <color indexed="16"/>
        <rFont val="Symbol"/>
        <family val="1"/>
      </rPr>
      <t>+n</t>
    </r>
    <r>
      <rPr>
        <b/>
        <sz val="10"/>
        <color indexed="16"/>
        <rFont val="Arial"/>
        <family val="2"/>
      </rPr>
      <t>T</t>
    </r>
    <r>
      <rPr>
        <b/>
        <sz val="12"/>
        <color indexed="16"/>
        <rFont val="Symbol"/>
        <family val="1"/>
      </rPr>
      <t>k/g</t>
    </r>
  </si>
  <si>
    <r>
      <t xml:space="preserve">- </t>
    </r>
    <r>
      <rPr>
        <b/>
        <sz val="10"/>
        <color indexed="17"/>
        <rFont val="Arial"/>
        <family val="2"/>
      </rPr>
      <t xml:space="preserve">PU        </t>
    </r>
  </si>
  <si>
    <r>
      <t xml:space="preserve">Prices </t>
    </r>
    <r>
      <rPr>
        <b/>
        <sz val="10"/>
        <color indexed="16"/>
        <rFont val="MS Sans Serif"/>
        <family val="2"/>
      </rPr>
      <t xml:space="preserve">&gt; </t>
    </r>
  </si>
  <si>
    <r>
      <t xml:space="preserve">  &lt;</t>
    </r>
    <r>
      <rPr>
        <b/>
        <sz val="10"/>
        <color indexed="16"/>
        <rFont val="Arial"/>
        <family val="2"/>
      </rPr>
      <t xml:space="preserve"> Production</t>
    </r>
  </si>
  <si>
    <r>
      <t xml:space="preserve">     at time = 0</t>
    </r>
    <r>
      <rPr>
        <b/>
        <sz val="12"/>
        <color indexed="16"/>
        <rFont val="Symbol"/>
        <family val="1"/>
      </rPr>
      <t xml:space="preserve"> </t>
    </r>
    <r>
      <rPr>
        <b/>
        <sz val="10"/>
        <color indexed="16"/>
        <rFont val="MS Sans Serif"/>
        <family val="2"/>
      </rPr>
      <t>&gt;</t>
    </r>
  </si>
  <si>
    <t xml:space="preserve">    E    </t>
  </si>
  <si>
    <t xml:space="preserve">    U + E </t>
  </si>
  <si>
    <t>Maturing</t>
  </si>
  <si>
    <r>
      <t xml:space="preserve">Principal </t>
    </r>
    <r>
      <rPr>
        <b/>
        <sz val="10"/>
        <color indexed="17"/>
        <rFont val="MS Sans Serif"/>
        <family val="2"/>
      </rPr>
      <t>&gt;</t>
    </r>
  </si>
  <si>
    <r>
      <t xml:space="preserve">  </t>
    </r>
    <r>
      <rPr>
        <b/>
        <u val="single"/>
        <sz val="10"/>
        <color indexed="16"/>
        <rFont val="Arial"/>
        <family val="2"/>
      </rPr>
      <t xml:space="preserve">     1      </t>
    </r>
  </si>
  <si>
    <r>
      <t>(</t>
    </r>
    <r>
      <rPr>
        <b/>
        <sz val="12"/>
        <color indexed="12"/>
        <rFont val="Symbol"/>
        <family val="1"/>
      </rPr>
      <t>t+</t>
    </r>
    <r>
      <rPr>
        <b/>
        <sz val="10"/>
        <color indexed="12"/>
        <rFont val="Arial"/>
        <family val="2"/>
      </rPr>
      <t>Y)</t>
    </r>
    <r>
      <rPr>
        <b/>
        <sz val="12"/>
        <color indexed="12"/>
        <rFont val="Symbol"/>
        <family val="1"/>
      </rPr>
      <t xml:space="preserve"> </t>
    </r>
    <r>
      <rPr>
        <b/>
        <sz val="10"/>
        <color indexed="12"/>
        <rFont val="Arial"/>
        <family val="2"/>
      </rPr>
      <t>/</t>
    </r>
    <r>
      <rPr>
        <b/>
        <sz val="12"/>
        <color indexed="12"/>
        <rFont val="Symbol"/>
        <family val="1"/>
      </rPr>
      <t>l</t>
    </r>
  </si>
  <si>
    <t>&gt;</t>
  </si>
  <si>
    <t>¡</t>
  </si>
  <si>
    <t>hQ</t>
  </si>
  <si>
    <t>Value</t>
  </si>
  <si>
    <t xml:space="preserve">    Interaction</t>
  </si>
  <si>
    <t xml:space="preserve">    with Values</t>
  </si>
  <si>
    <t>U + E</t>
  </si>
  <si>
    <r>
      <t>- s/</t>
    </r>
    <r>
      <rPr>
        <b/>
        <sz val="10"/>
        <color indexed="59"/>
        <rFont val="Arial"/>
        <family val="2"/>
      </rPr>
      <t>P</t>
    </r>
    <r>
      <rPr>
        <b/>
        <vertAlign val="subscript"/>
        <sz val="10"/>
        <color indexed="59"/>
        <rFont val="Arial"/>
        <family val="2"/>
      </rPr>
      <t>0</t>
    </r>
  </si>
  <si>
    <r>
      <t>H</t>
    </r>
    <r>
      <rPr>
        <b/>
        <sz val="12"/>
        <color indexed="59"/>
        <rFont val="Symbol"/>
        <family val="1"/>
      </rPr>
      <t>Q</t>
    </r>
  </si>
  <si>
    <r>
      <t xml:space="preserve">Currency </t>
    </r>
    <r>
      <rPr>
        <b/>
        <sz val="10"/>
        <color indexed="16"/>
        <rFont val="MS Sans Serif"/>
        <family val="2"/>
      </rPr>
      <t xml:space="preserve">&gt; </t>
    </r>
  </si>
  <si>
    <r>
      <t>Y</t>
    </r>
    <r>
      <rPr>
        <b/>
        <sz val="10"/>
        <color indexed="16"/>
        <rFont val="MS Sans Serif"/>
        <family val="2"/>
      </rPr>
      <t xml:space="preserve"> </t>
    </r>
  </si>
  <si>
    <r>
      <t xml:space="preserve"> </t>
    </r>
    <r>
      <rPr>
        <b/>
        <sz val="10"/>
        <color indexed="16"/>
        <rFont val="MS Sans Serif"/>
        <family val="2"/>
      </rPr>
      <t xml:space="preserve">&lt; </t>
    </r>
    <r>
      <rPr>
        <b/>
        <sz val="10"/>
        <color indexed="16"/>
        <rFont val="Arial"/>
        <family val="2"/>
      </rPr>
      <t>Values</t>
    </r>
  </si>
  <si>
    <r>
      <t xml:space="preserve">    </t>
    </r>
    <r>
      <rPr>
        <b/>
        <strike/>
        <sz val="10"/>
        <color indexed="58"/>
        <rFont val="Arial"/>
        <family val="2"/>
      </rPr>
      <t>G</t>
    </r>
    <r>
      <rPr>
        <b/>
        <sz val="12"/>
        <rFont val="Symbol"/>
        <family val="1"/>
      </rPr>
      <t>/</t>
    </r>
    <r>
      <rPr>
        <b/>
        <sz val="10"/>
        <rFont val="Arial"/>
        <family val="2"/>
      </rPr>
      <t>unit</t>
    </r>
  </si>
  <si>
    <r>
      <t>Y</t>
    </r>
    <r>
      <rPr>
        <b/>
        <sz val="10"/>
        <color indexed="58"/>
        <rFont val="Arial"/>
        <family val="2"/>
      </rPr>
      <t>U</t>
    </r>
  </si>
  <si>
    <r>
      <t>&lt;</t>
    </r>
    <r>
      <rPr>
        <b/>
        <sz val="10"/>
        <color indexed="16"/>
        <rFont val="Arial"/>
        <family val="2"/>
      </rPr>
      <t xml:space="preserve"> of Utility</t>
    </r>
  </si>
  <si>
    <r>
      <t xml:space="preserve"> &lt;</t>
    </r>
    <r>
      <rPr>
        <b/>
        <sz val="10"/>
        <color indexed="16"/>
        <rFont val="Arial"/>
        <family val="2"/>
      </rPr>
      <t xml:space="preserve"> Supply</t>
    </r>
  </si>
  <si>
    <r>
      <t>b</t>
    </r>
    <r>
      <rPr>
        <vertAlign val="subscript"/>
        <sz val="10"/>
        <rFont val="Symbol"/>
        <family val="1"/>
      </rPr>
      <t>1</t>
    </r>
  </si>
  <si>
    <r>
      <t>b</t>
    </r>
    <r>
      <rPr>
        <vertAlign val="subscript"/>
        <sz val="10"/>
        <rFont val="Symbol"/>
        <family val="1"/>
      </rPr>
      <t>1-2</t>
    </r>
  </si>
  <si>
    <r>
      <t xml:space="preserve"> </t>
    </r>
    <r>
      <rPr>
        <b/>
        <sz val="10"/>
        <color indexed="12"/>
        <rFont val="MS Sans Serif"/>
        <family val="2"/>
      </rPr>
      <t>&lt;</t>
    </r>
    <r>
      <rPr>
        <b/>
        <sz val="10"/>
        <color indexed="12"/>
        <rFont val="Arial"/>
        <family val="2"/>
      </rPr>
      <t xml:space="preserve"> Output</t>
    </r>
  </si>
  <si>
    <r>
      <t>Y</t>
    </r>
    <r>
      <rPr>
        <b/>
        <sz val="12"/>
        <color indexed="12"/>
        <rFont val="Symbol"/>
        <family val="1"/>
      </rPr>
      <t>t</t>
    </r>
  </si>
  <si>
    <r>
      <t xml:space="preserve">Marginal Costs of Production </t>
    </r>
    <r>
      <rPr>
        <b/>
        <sz val="10"/>
        <color indexed="12"/>
        <rFont val="MS Sans Serif"/>
        <family val="2"/>
      </rPr>
      <t>&gt;</t>
    </r>
  </si>
  <si>
    <r>
      <t xml:space="preserve"> </t>
    </r>
    <r>
      <rPr>
        <b/>
        <sz val="10"/>
        <color indexed="16"/>
        <rFont val="MS Sans Serif"/>
        <family val="2"/>
      </rPr>
      <t>&lt;</t>
    </r>
    <r>
      <rPr>
        <b/>
        <sz val="10"/>
        <color indexed="16"/>
        <rFont val="Arial"/>
        <family val="2"/>
      </rPr>
      <t xml:space="preserve"> Market</t>
    </r>
  </si>
  <si>
    <t xml:space="preserve">    Pressure</t>
  </si>
  <si>
    <r>
      <t>V</t>
    </r>
    <r>
      <rPr>
        <b/>
        <vertAlign val="subscript"/>
        <sz val="10"/>
        <color indexed="16"/>
        <rFont val="Arial"/>
        <family val="2"/>
      </rPr>
      <t>0</t>
    </r>
  </si>
  <si>
    <r>
      <t xml:space="preserve"> </t>
    </r>
    <r>
      <rPr>
        <b/>
        <sz val="10"/>
        <color indexed="16"/>
        <rFont val="MS Sans Serif"/>
        <family val="2"/>
      </rPr>
      <t>&lt;</t>
    </r>
  </si>
  <si>
    <r>
      <t>Y</t>
    </r>
    <r>
      <rPr>
        <b/>
        <vertAlign val="subscript"/>
        <sz val="10"/>
        <color indexed="16"/>
        <rFont val="Arial"/>
        <family val="2"/>
      </rPr>
      <t>L</t>
    </r>
    <r>
      <rPr>
        <b/>
        <sz val="10"/>
        <color indexed="16"/>
        <rFont val="Arial"/>
        <family val="2"/>
      </rPr>
      <t xml:space="preserve"> </t>
    </r>
    <r>
      <rPr>
        <b/>
        <sz val="12"/>
        <color indexed="16"/>
        <rFont val="Symbol"/>
        <family val="1"/>
      </rPr>
      <t xml:space="preserve">= - </t>
    </r>
    <r>
      <rPr>
        <b/>
        <sz val="10"/>
        <color indexed="16"/>
        <rFont val="Arial"/>
        <family val="2"/>
      </rPr>
      <t>Leisure</t>
    </r>
  </si>
  <si>
    <t xml:space="preserve">   </t>
  </si>
  <si>
    <t>i.e.: Production and</t>
  </si>
  <si>
    <r>
      <t xml:space="preserve">Utility Tradeoffs </t>
    </r>
    <r>
      <rPr>
        <b/>
        <sz val="10"/>
        <color indexed="16"/>
        <rFont val="MS Sans Serif"/>
        <family val="2"/>
      </rPr>
      <t>&gt;</t>
    </r>
  </si>
  <si>
    <t>(u + e)/h</t>
  </si>
  <si>
    <r>
      <t xml:space="preserve">(1 </t>
    </r>
    <r>
      <rPr>
        <b/>
        <sz val="12"/>
        <color indexed="16"/>
        <rFont val="Symbol"/>
        <family val="1"/>
      </rPr>
      <t>- n</t>
    </r>
    <r>
      <rPr>
        <b/>
        <sz val="10"/>
        <color indexed="16"/>
        <rFont val="Arial"/>
        <family val="2"/>
      </rPr>
      <t>)</t>
    </r>
    <r>
      <rPr>
        <b/>
        <vertAlign val="superscript"/>
        <sz val="12"/>
        <color indexed="16"/>
        <rFont val="Arial"/>
        <family val="2"/>
      </rPr>
      <t>T</t>
    </r>
  </si>
  <si>
    <t xml:space="preserve">Investment Term    </t>
  </si>
  <si>
    <r>
      <t xml:space="preserve"> </t>
    </r>
    <r>
      <rPr>
        <b/>
        <sz val="10"/>
        <color indexed="16"/>
        <rFont val="MS Sans Serif"/>
        <family val="2"/>
      </rPr>
      <t>&lt;</t>
    </r>
    <r>
      <rPr>
        <b/>
        <sz val="10"/>
        <color indexed="16"/>
        <rFont val="Arial"/>
        <family val="2"/>
      </rPr>
      <t xml:space="preserve"> Demand</t>
    </r>
  </si>
  <si>
    <r>
      <t>(1</t>
    </r>
    <r>
      <rPr>
        <b/>
        <sz val="12"/>
        <color indexed="16"/>
        <rFont val="Symbol"/>
        <family val="1"/>
      </rPr>
      <t>-</t>
    </r>
    <r>
      <rPr>
        <b/>
        <sz val="10"/>
        <color indexed="16"/>
        <rFont val="Arial"/>
        <family val="2"/>
      </rPr>
      <t>1</t>
    </r>
    <r>
      <rPr>
        <b/>
        <sz val="12"/>
        <color indexed="16"/>
        <rFont val="Symbol"/>
        <family val="1"/>
      </rPr>
      <t>/</t>
    </r>
    <r>
      <rPr>
        <b/>
        <sz val="8"/>
        <color indexed="16"/>
        <rFont val="Arial"/>
        <family val="2"/>
      </rPr>
      <t>NPV</t>
    </r>
    <r>
      <rPr>
        <b/>
        <sz val="10"/>
        <color indexed="16"/>
        <rFont val="Arial"/>
        <family val="2"/>
      </rPr>
      <t>)</t>
    </r>
    <r>
      <rPr>
        <b/>
        <sz val="12"/>
        <color indexed="16"/>
        <rFont val="Symbol"/>
        <family val="1"/>
      </rPr>
      <t>/</t>
    </r>
    <r>
      <rPr>
        <b/>
        <sz val="10"/>
        <color indexed="16"/>
        <rFont val="Arial"/>
        <family val="2"/>
      </rPr>
      <t xml:space="preserve">T  </t>
    </r>
  </si>
  <si>
    <r>
      <t xml:space="preserve">Q = </t>
    </r>
    <r>
      <rPr>
        <b/>
        <sz val="10"/>
        <color indexed="59"/>
        <rFont val="Arial"/>
        <family val="2"/>
      </rPr>
      <t>E</t>
    </r>
    <r>
      <rPr>
        <b/>
        <vertAlign val="subscript"/>
        <sz val="10"/>
        <color indexed="59"/>
        <rFont val="Arial"/>
        <family val="2"/>
      </rPr>
      <t>0</t>
    </r>
    <r>
      <rPr>
        <b/>
        <sz val="12"/>
        <color indexed="59"/>
        <rFont val="Symbol"/>
        <family val="1"/>
      </rPr>
      <t>/</t>
    </r>
    <r>
      <rPr>
        <b/>
        <sz val="10"/>
        <color indexed="59"/>
        <rFont val="Arial"/>
        <family val="2"/>
      </rPr>
      <t>W</t>
    </r>
    <r>
      <rPr>
        <b/>
        <vertAlign val="subscript"/>
        <sz val="10"/>
        <color indexed="59"/>
        <rFont val="Arial"/>
        <family val="2"/>
      </rPr>
      <t>0</t>
    </r>
  </si>
  <si>
    <t>Monetary</t>
  </si>
  <si>
    <r>
      <t xml:space="preserve">Stocks </t>
    </r>
    <r>
      <rPr>
        <b/>
        <sz val="10"/>
        <color indexed="17"/>
        <rFont val="MS Sans Serif"/>
        <family val="2"/>
      </rPr>
      <t>&gt;</t>
    </r>
  </si>
  <si>
    <r>
      <t xml:space="preserve">Investment Term </t>
    </r>
    <r>
      <rPr>
        <b/>
        <sz val="10"/>
        <color indexed="16"/>
        <rFont val="MS Sans Serif"/>
        <family val="2"/>
      </rPr>
      <t xml:space="preserve">&gt;  </t>
    </r>
  </si>
  <si>
    <r>
      <t>&lt;</t>
    </r>
    <r>
      <rPr>
        <b/>
        <sz val="10"/>
        <color indexed="16"/>
        <rFont val="Arial"/>
        <family val="2"/>
      </rPr>
      <t xml:space="preserve"> Physical</t>
    </r>
  </si>
  <si>
    <t xml:space="preserve">    Stocks</t>
  </si>
  <si>
    <r>
      <t>&lt;</t>
    </r>
    <r>
      <rPr>
        <b/>
        <sz val="10"/>
        <color indexed="16"/>
        <rFont val="Arial"/>
        <family val="2"/>
      </rPr>
      <t xml:space="preserve"> Markets</t>
    </r>
  </si>
  <si>
    <r>
      <t xml:space="preserve"> Interest Rate </t>
    </r>
    <r>
      <rPr>
        <b/>
        <sz val="10"/>
        <color indexed="16"/>
        <rFont val="MS Sans Serif"/>
        <family val="2"/>
      </rPr>
      <t xml:space="preserve">&gt;  </t>
    </r>
  </si>
  <si>
    <r>
      <t>i</t>
    </r>
    <r>
      <rPr>
        <b/>
        <sz val="10"/>
        <color indexed="16"/>
        <rFont val="Arial"/>
        <family val="2"/>
      </rPr>
      <t xml:space="preserve">    H</t>
    </r>
    <r>
      <rPr>
        <b/>
        <sz val="12"/>
        <color indexed="16"/>
        <rFont val="Symbol"/>
        <family val="1"/>
      </rPr>
      <t>b/m</t>
    </r>
  </si>
  <si>
    <r>
      <t>&lt;</t>
    </r>
    <r>
      <rPr>
        <b/>
        <sz val="10"/>
        <color indexed="16"/>
        <rFont val="Arial"/>
        <family val="2"/>
      </rPr>
      <t xml:space="preserve"> V</t>
    </r>
  </si>
  <si>
    <t>z = pl</t>
  </si>
  <si>
    <r>
      <t>1/(N</t>
    </r>
    <r>
      <rPr>
        <b/>
        <sz val="8"/>
        <color indexed="55"/>
        <rFont val="Symbol"/>
        <family val="1"/>
      </rPr>
      <t>+</t>
    </r>
    <r>
      <rPr>
        <b/>
        <sz val="8"/>
        <color indexed="55"/>
        <rFont val="Arial"/>
        <family val="2"/>
      </rPr>
      <t>1)</t>
    </r>
  </si>
  <si>
    <r>
      <t>(</t>
    </r>
    <r>
      <rPr>
        <b/>
        <sz val="12"/>
        <color indexed="55"/>
        <rFont val="Symbol"/>
        <family val="1"/>
      </rPr>
      <t>p</t>
    </r>
    <r>
      <rPr>
        <b/>
        <sz val="10"/>
        <color indexed="55"/>
        <rFont val="Arial"/>
        <family val="2"/>
      </rPr>
      <t>ZPU)</t>
    </r>
  </si>
  <si>
    <r>
      <t>(</t>
    </r>
    <r>
      <rPr>
        <b/>
        <sz val="10"/>
        <color indexed="55"/>
        <rFont val="Arial"/>
        <family val="2"/>
      </rPr>
      <t xml:space="preserve">PU + </t>
    </r>
    <r>
      <rPr>
        <b/>
        <sz val="12"/>
        <color indexed="55"/>
        <rFont val="Symbol"/>
        <family val="1"/>
      </rPr>
      <t>s)/</t>
    </r>
    <r>
      <rPr>
        <b/>
        <sz val="10"/>
        <color indexed="55"/>
        <rFont val="Arial"/>
        <family val="2"/>
      </rPr>
      <t>N</t>
    </r>
  </si>
  <si>
    <r>
      <t xml:space="preserve">q = </t>
    </r>
    <r>
      <rPr>
        <b/>
        <sz val="10"/>
        <color indexed="55"/>
        <rFont val="Arial"/>
        <family val="2"/>
      </rPr>
      <t>P</t>
    </r>
    <r>
      <rPr>
        <b/>
        <vertAlign val="subscript"/>
        <sz val="10"/>
        <color indexed="55"/>
        <rFont val="Arial"/>
        <family val="2"/>
      </rPr>
      <t>0</t>
    </r>
    <r>
      <rPr>
        <b/>
        <sz val="10"/>
        <color indexed="55"/>
        <rFont val="Arial"/>
        <family val="2"/>
      </rPr>
      <t>*</t>
    </r>
    <r>
      <rPr>
        <b/>
        <sz val="12"/>
        <color indexed="55"/>
        <rFont val="Symbol"/>
        <family val="1"/>
      </rPr>
      <t>Q</t>
    </r>
  </si>
  <si>
    <r>
      <t xml:space="preserve"> Z</t>
    </r>
    <r>
      <rPr>
        <b/>
        <vertAlign val="subscript"/>
        <sz val="10"/>
        <color indexed="16"/>
        <rFont val="Arial"/>
        <family val="2"/>
      </rPr>
      <t>L</t>
    </r>
  </si>
  <si>
    <r>
      <t>&lt;</t>
    </r>
    <r>
      <rPr>
        <b/>
        <sz val="10"/>
        <color indexed="16"/>
        <rFont val="Arial"/>
        <family val="2"/>
      </rPr>
      <t xml:space="preserve"> Temporal Parameters, i.e.: Turnover Fractions </t>
    </r>
    <r>
      <rPr>
        <b/>
        <sz val="10"/>
        <color indexed="16"/>
        <rFont val="MS Sans Serif"/>
        <family val="2"/>
      </rPr>
      <t>&gt;</t>
    </r>
  </si>
  <si>
    <t>-f</t>
  </si>
  <si>
    <t xml:space="preserve">     u      </t>
  </si>
  <si>
    <r>
      <t>(</t>
    </r>
    <r>
      <rPr>
        <b/>
        <sz val="12"/>
        <color indexed="17"/>
        <rFont val="Symbol"/>
        <family val="1"/>
      </rPr>
      <t>h/w-</t>
    </r>
    <r>
      <rPr>
        <b/>
        <sz val="10"/>
        <color indexed="17"/>
        <rFont val="Arial"/>
        <family val="2"/>
      </rPr>
      <t>1)</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</si>
</sst>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_)"/>
    <numFmt numFmtId="167" formatCode="0.0000_)"/>
    <numFmt numFmtId="168" formatCode="0.0E+00_)"/>
    <numFmt numFmtId="169" formatCode="0.00_)"/>
    <numFmt numFmtId="170" formatCode="0.000000_)"/>
    <numFmt numFmtId="171" formatCode="0.000_)"/>
    <numFmt numFmtId="172" formatCode="0.0000"/>
    <numFmt numFmtId="173" formatCode="0.00%\ "/>
    <numFmt numFmtId="174" formatCode="0.0"/>
    <numFmt numFmtId="175" formatCode=";;;"/>
    <numFmt numFmtId="176" formatCode="0.000%"/>
    <numFmt numFmtId="177" formatCode="0.000"/>
    <numFmt numFmtId="178" formatCode="0.00000_)"/>
    <numFmt numFmtId="179" formatCode="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
    <numFmt numFmtId="190" formatCode="_(* #,##0.000_);_(* \(#,##0.000\);_(* &quot;-&quot;??_);_(@_)"/>
    <numFmt numFmtId="191" formatCode="_(* #,##0.0000_);_(* \(#,##0.0000\);_(* &quot;-&quot;??_);_(@_)"/>
    <numFmt numFmtId="192" formatCode="_(* #,##0.0000_);_(* \(#,##0.0000\);_(* &quot;-&quot;????_);_(@_)"/>
    <numFmt numFmtId="193" formatCode="0.0000000_)"/>
    <numFmt numFmtId="194" formatCode="0.00000000_)"/>
    <numFmt numFmtId="195" formatCode="0.000000000_)"/>
    <numFmt numFmtId="196" formatCode="&quot;$&quot;#,##0"/>
    <numFmt numFmtId="197" formatCode="0.0000%"/>
    <numFmt numFmtId="198" formatCode="_(&quot;$&quot;* #,##0.0000_);_(&quot;$&quot;* \(#,##0.0000\);_(&quot;$&quot;* &quot;-&quot;????_);_(@_)"/>
    <numFmt numFmtId="199" formatCode="General___)"/>
    <numFmt numFmtId="200" formatCode="&quot;$&quot;#,##0.0000"/>
    <numFmt numFmtId="201" formatCode="_(&quot;$&quot;* #,##0.000_);_(&quot;$&quot;* \(#,##0.000\);_(&quot;$&quot;* &quot;-&quot;??_);_(@_)"/>
    <numFmt numFmtId="202" formatCode="_(&quot;$&quot;* #,##0.0000_);_(&quot;$&quot;* \(#,##0.0000\);_(&quot;$&quot;* &quot;-&quot;??_);_(@_)"/>
    <numFmt numFmtId="203" formatCode="0.0E+00"/>
    <numFmt numFmtId="204" formatCode="0.00_);\(0.00\)"/>
    <numFmt numFmtId="205" formatCode="0.0000_);\(0.0000\)"/>
    <numFmt numFmtId="206" formatCode="0_);\(0\)"/>
    <numFmt numFmtId="207" formatCode="0.00000E+00"/>
    <numFmt numFmtId="208" formatCode="0.000000E+00"/>
    <numFmt numFmtId="209" formatCode="0.0000E+00"/>
    <numFmt numFmtId="210" formatCode="0.000_);\(0.000\)"/>
    <numFmt numFmtId="211" formatCode="0.000E+00"/>
    <numFmt numFmtId="212" formatCode="&quot;$&quot;#,##0.00"/>
    <numFmt numFmtId="213" formatCode="&quot;$&quot;#,##0.000"/>
    <numFmt numFmtId="214" formatCode="&quot;$&quot;#,##0.0"/>
    <numFmt numFmtId="215" formatCode="&quot;Yes&quot;;&quot;Yes&quot;;&quot;No&quot;"/>
    <numFmt numFmtId="216" formatCode="&quot;True&quot;;&quot;True&quot;;&quot;False&quot;"/>
    <numFmt numFmtId="217" formatCode="&quot;On&quot;;&quot;On&quot;;&quot;Off&quot;"/>
    <numFmt numFmtId="218" formatCode="[$€-2]\ #,##0.00_);[Red]\([$€-2]\ #,##0.00\)"/>
  </numFmts>
  <fonts count="95">
    <font>
      <sz val="10"/>
      <name val="Courier"/>
      <family val="0"/>
    </font>
    <font>
      <b/>
      <sz val="10"/>
      <name val="Arial"/>
      <family val="0"/>
    </font>
    <font>
      <i/>
      <sz val="10"/>
      <name val="Arial"/>
      <family val="0"/>
    </font>
    <font>
      <b/>
      <i/>
      <sz val="10"/>
      <name val="Arial"/>
      <family val="0"/>
    </font>
    <font>
      <sz val="10"/>
      <name val="Arial"/>
      <family val="0"/>
    </font>
    <font>
      <sz val="10"/>
      <color indexed="12"/>
      <name val="Courier"/>
      <family val="0"/>
    </font>
    <font>
      <sz val="8"/>
      <name val="Arial"/>
      <family val="0"/>
    </font>
    <font>
      <b/>
      <sz val="8"/>
      <name val="Arial"/>
      <family val="0"/>
    </font>
    <font>
      <b/>
      <sz val="12"/>
      <name val="Courier"/>
      <family val="0"/>
    </font>
    <font>
      <b/>
      <vertAlign val="subscript"/>
      <sz val="12"/>
      <name val="Symbol"/>
      <family val="1"/>
    </font>
    <font>
      <b/>
      <sz val="14"/>
      <name val="Symbol"/>
      <family val="1"/>
    </font>
    <font>
      <b/>
      <sz val="10"/>
      <name val="Courier"/>
      <family val="0"/>
    </font>
    <font>
      <b/>
      <sz val="8.5"/>
      <name val="MS Serif"/>
      <family val="1"/>
    </font>
    <font>
      <b/>
      <sz val="10"/>
      <name val="Symbol"/>
      <family val="0"/>
    </font>
    <font>
      <vertAlign val="subscript"/>
      <sz val="10"/>
      <name val="Symbol"/>
      <family val="1"/>
    </font>
    <font>
      <b/>
      <sz val="10"/>
      <name val="MS Serif"/>
      <family val="1"/>
    </font>
    <font>
      <b/>
      <sz val="10"/>
      <color indexed="16"/>
      <name val="Symbol"/>
      <family val="1"/>
    </font>
    <font>
      <u val="single"/>
      <sz val="10"/>
      <color indexed="12"/>
      <name val="Arial"/>
      <family val="0"/>
    </font>
    <font>
      <b/>
      <sz val="12"/>
      <name val="Courier New"/>
      <family val="3"/>
    </font>
    <font>
      <sz val="10"/>
      <name val="MS Sans Serif"/>
      <family val="2"/>
    </font>
    <font>
      <b/>
      <sz val="10"/>
      <color indexed="16"/>
      <name val="MS Sans Serif"/>
      <family val="2"/>
    </font>
    <font>
      <sz val="10"/>
      <color indexed="12"/>
      <name val="MS Sans Serif"/>
      <family val="2"/>
    </font>
    <font>
      <u val="single"/>
      <sz val="10"/>
      <color indexed="36"/>
      <name val="Courier"/>
      <family val="0"/>
    </font>
    <font>
      <b/>
      <sz val="10"/>
      <color indexed="16"/>
      <name val="Arial"/>
      <family val="2"/>
    </font>
    <font>
      <b/>
      <sz val="10"/>
      <color indexed="8"/>
      <name val="Arial"/>
      <family val="2"/>
    </font>
    <font>
      <b/>
      <sz val="10"/>
      <color indexed="10"/>
      <name val="Arial"/>
      <family val="2"/>
    </font>
    <font>
      <b/>
      <vertAlign val="subscript"/>
      <sz val="10"/>
      <color indexed="16"/>
      <name val="Arial"/>
      <family val="2"/>
    </font>
    <font>
      <b/>
      <sz val="12"/>
      <color indexed="16"/>
      <name val="Symbol"/>
      <family val="1"/>
    </font>
    <font>
      <sz val="8"/>
      <name val="Courier"/>
      <family val="0"/>
    </font>
    <font>
      <b/>
      <sz val="12"/>
      <color indexed="16"/>
      <name val="MS Sans Serif"/>
      <family val="2"/>
    </font>
    <font>
      <b/>
      <sz val="10"/>
      <color indexed="17"/>
      <name val="Arial"/>
      <family val="2"/>
    </font>
    <font>
      <b/>
      <vertAlign val="subscript"/>
      <sz val="10"/>
      <name val="Courier"/>
      <family val="3"/>
    </font>
    <font>
      <vertAlign val="subscript"/>
      <sz val="10"/>
      <name val="Arial"/>
      <family val="2"/>
    </font>
    <font>
      <b/>
      <sz val="10"/>
      <color indexed="58"/>
      <name val="Arial"/>
      <family val="2"/>
    </font>
    <font>
      <b/>
      <sz val="12"/>
      <name val="Arial Narrow"/>
      <family val="2"/>
    </font>
    <font>
      <b/>
      <sz val="8"/>
      <color indexed="16"/>
      <name val="Arial"/>
      <family val="2"/>
    </font>
    <font>
      <b/>
      <sz val="12"/>
      <name val="Arial"/>
      <family val="2"/>
    </font>
    <font>
      <sz val="10"/>
      <name val="Courier New"/>
      <family val="3"/>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b/>
      <sz val="12"/>
      <color indexed="17"/>
      <name val="Symbol"/>
      <family val="1"/>
    </font>
    <font>
      <b/>
      <sz val="10"/>
      <color indexed="12"/>
      <name val="Arial"/>
      <family val="2"/>
    </font>
    <font>
      <sz val="10"/>
      <color indexed="22"/>
      <name val="Arial"/>
      <family val="2"/>
    </font>
    <font>
      <b/>
      <sz val="12"/>
      <color indexed="12"/>
      <name val="Symbol"/>
      <family val="1"/>
    </font>
    <font>
      <sz val="10"/>
      <color indexed="17"/>
      <name val="Courier"/>
      <family val="0"/>
    </font>
    <font>
      <b/>
      <sz val="12"/>
      <name val="Symbol"/>
      <family val="1"/>
    </font>
    <font>
      <sz val="12"/>
      <color indexed="16"/>
      <name val="Symbol"/>
      <family val="1"/>
    </font>
    <font>
      <b/>
      <strike/>
      <sz val="10"/>
      <color indexed="58"/>
      <name val="Arial"/>
      <family val="2"/>
    </font>
    <font>
      <b/>
      <sz val="10"/>
      <color indexed="17"/>
      <name val="Symbol"/>
      <family val="1"/>
    </font>
    <font>
      <b/>
      <sz val="10"/>
      <color indexed="12"/>
      <name val="MS Sans Serif"/>
      <family val="2"/>
    </font>
    <font>
      <b/>
      <sz val="10"/>
      <color indexed="17"/>
      <name val="MS Sans Serif"/>
      <family val="2"/>
    </font>
    <font>
      <b/>
      <u val="single"/>
      <sz val="10"/>
      <color indexed="16"/>
      <name val="Arial"/>
      <family val="2"/>
    </font>
    <font>
      <sz val="10"/>
      <color indexed="55"/>
      <name val="Courier"/>
      <family val="0"/>
    </font>
    <font>
      <sz val="10"/>
      <color indexed="55"/>
      <name val="Arial"/>
      <family val="2"/>
    </font>
    <font>
      <sz val="10"/>
      <color indexed="55"/>
      <name val="MS Sans Serif"/>
      <family val="2"/>
    </font>
    <font>
      <b/>
      <sz val="8"/>
      <name val="Tahoma"/>
      <family val="0"/>
    </font>
    <font>
      <sz val="8"/>
      <name val="Tahoma"/>
      <family val="0"/>
    </font>
    <font>
      <b/>
      <sz val="10"/>
      <name val="MS Sans Serif"/>
      <family val="2"/>
    </font>
    <font>
      <sz val="10"/>
      <color indexed="9"/>
      <name val="Arial"/>
      <family val="2"/>
    </font>
    <font>
      <b/>
      <sz val="12"/>
      <color indexed="10"/>
      <name val="Arial"/>
      <family val="2"/>
    </font>
    <font>
      <b/>
      <sz val="12"/>
      <color indexed="22"/>
      <name val="Symbol"/>
      <family val="1"/>
    </font>
    <font>
      <sz val="10"/>
      <color indexed="12"/>
      <name val="Courier New"/>
      <family val="3"/>
    </font>
    <font>
      <u val="single"/>
      <sz val="10"/>
      <color indexed="17"/>
      <name val="Courier"/>
      <family val="3"/>
    </font>
    <font>
      <b/>
      <vertAlign val="superscript"/>
      <sz val="12"/>
      <color indexed="16"/>
      <name val="Arial"/>
      <family val="2"/>
    </font>
    <font>
      <u val="double"/>
      <sz val="10"/>
      <name val="Courier"/>
      <family val="3"/>
    </font>
    <font>
      <b/>
      <sz val="10"/>
      <color indexed="59"/>
      <name val="Arial"/>
      <family val="2"/>
    </font>
    <font>
      <b/>
      <vertAlign val="subscript"/>
      <sz val="10"/>
      <color indexed="59"/>
      <name val="Arial"/>
      <family val="2"/>
    </font>
    <font>
      <b/>
      <sz val="12"/>
      <color indexed="59"/>
      <name val="Symbol"/>
      <family val="1"/>
    </font>
    <font>
      <sz val="12"/>
      <color indexed="59"/>
      <name val="Symbol"/>
      <family val="1"/>
    </font>
    <font>
      <b/>
      <sz val="12"/>
      <color indexed="58"/>
      <name val="Symbol"/>
      <family val="1"/>
    </font>
    <font>
      <sz val="10"/>
      <color indexed="22"/>
      <name val="Courier"/>
      <family val="0"/>
    </font>
    <font>
      <u val="double"/>
      <sz val="10"/>
      <color indexed="55"/>
      <name val="Courier"/>
      <family val="3"/>
    </font>
    <font>
      <b/>
      <sz val="8"/>
      <color indexed="55"/>
      <name val="Arial"/>
      <family val="2"/>
    </font>
    <font>
      <b/>
      <sz val="8"/>
      <color indexed="55"/>
      <name val="Symbol"/>
      <family val="1"/>
    </font>
    <font>
      <b/>
      <sz val="10"/>
      <color indexed="55"/>
      <name val="Arial"/>
      <family val="2"/>
    </font>
    <font>
      <b/>
      <sz val="12"/>
      <color indexed="55"/>
      <name val="Symbol"/>
      <family val="1"/>
    </font>
    <font>
      <u val="single"/>
      <sz val="10"/>
      <color indexed="55"/>
      <name val="Courier"/>
      <family val="3"/>
    </font>
    <font>
      <b/>
      <vertAlign val="subscript"/>
      <sz val="10"/>
      <color indexed="55"/>
      <name val="Arial"/>
      <family val="2"/>
    </font>
    <font>
      <b/>
      <u val="single"/>
      <sz val="12"/>
      <color indexed="17"/>
      <name val="Symbol"/>
      <family val="1"/>
    </font>
    <font>
      <b/>
      <sz val="8"/>
      <name val="Courier"/>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6"/>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color indexed="8"/>
      </left>
      <right style="thin">
        <color indexed="8"/>
      </right>
      <top style="thin">
        <color indexed="8"/>
      </top>
      <bottom style="medium">
        <color indexed="8"/>
      </bottom>
    </border>
    <border>
      <left style="thin"/>
      <right>
        <color indexed="63"/>
      </right>
      <top style="thin"/>
      <bottom style="medium"/>
    </border>
    <border>
      <left>
        <color indexed="63"/>
      </left>
      <right>
        <color indexed="63"/>
      </right>
      <top style="thin"/>
      <bottom style="thin"/>
    </border>
  </borders>
  <cellStyleXfs count="7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1" fillId="17" borderId="1" applyNumberFormat="0" applyAlignment="0" applyProtection="0"/>
    <xf numFmtId="0" fontId="42" fillId="1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44" fillId="1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3" borderId="1" applyNumberFormat="0" applyAlignment="0" applyProtection="0"/>
    <xf numFmtId="0" fontId="49" fillId="0" borderId="6" applyNumberFormat="0" applyFill="0" applyAlignment="0" applyProtection="0"/>
    <xf numFmtId="0" fontId="50" fillId="8" borderId="0" applyNumberFormat="0" applyBorder="0" applyAlignment="0" applyProtection="0"/>
    <xf numFmtId="164" fontId="37" fillId="0" borderId="0">
      <alignment/>
      <protection/>
    </xf>
    <xf numFmtId="164" fontId="0" fillId="0" borderId="0">
      <alignment/>
      <protection/>
    </xf>
    <xf numFmtId="164" fontId="0" fillId="0" borderId="0">
      <alignment/>
      <protection/>
    </xf>
    <xf numFmtId="164" fontId="37" fillId="0" borderId="0">
      <alignment/>
      <protection/>
    </xf>
    <xf numFmtId="164" fontId="0" fillId="0" borderId="0">
      <alignment/>
      <protection/>
    </xf>
    <xf numFmtId="164" fontId="0" fillId="0" borderId="0">
      <alignment/>
      <protection/>
    </xf>
    <xf numFmtId="164" fontId="0" fillId="0" borderId="0">
      <alignment/>
      <protection/>
    </xf>
    <xf numFmtId="164" fontId="37" fillId="0" borderId="0">
      <alignment/>
      <protection/>
    </xf>
    <xf numFmtId="164" fontId="0" fillId="0" borderId="0">
      <alignment/>
      <protection/>
    </xf>
    <xf numFmtId="0" fontId="37" fillId="4" borderId="7" applyNumberFormat="0" applyFont="0" applyAlignment="0" applyProtection="0"/>
    <xf numFmtId="0" fontId="51" fillId="17" borderId="8" applyNumberFormat="0" applyAlignment="0" applyProtection="0"/>
    <xf numFmtId="9" fontId="4"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13">
    <xf numFmtId="164" fontId="0" fillId="0" borderId="0" xfId="0" applyAlignment="1">
      <alignment/>
    </xf>
    <xf numFmtId="164" fontId="0" fillId="0" borderId="0" xfId="65">
      <alignment/>
      <protection/>
    </xf>
    <xf numFmtId="164" fontId="11" fillId="0" borderId="0" xfId="0" applyFont="1" applyAlignment="1">
      <alignment horizontal="right"/>
    </xf>
    <xf numFmtId="164" fontId="8" fillId="0" borderId="0" xfId="0" applyFont="1" applyAlignment="1" quotePrefix="1">
      <alignment horizontal="center"/>
    </xf>
    <xf numFmtId="164" fontId="18" fillId="0" borderId="0" xfId="0" applyFont="1" applyAlignment="1" quotePrefix="1">
      <alignment horizontal="center"/>
    </xf>
    <xf numFmtId="164" fontId="10" fillId="0" borderId="0" xfId="0" applyFont="1" applyAlignment="1" quotePrefix="1">
      <alignment horizontal="center"/>
    </xf>
    <xf numFmtId="164" fontId="11" fillId="0" borderId="0" xfId="0" applyFont="1" applyAlignment="1">
      <alignment horizontal="center"/>
    </xf>
    <xf numFmtId="164" fontId="11" fillId="0" borderId="0" xfId="0" applyFont="1" applyAlignment="1" quotePrefix="1">
      <alignment horizontal="center"/>
    </xf>
    <xf numFmtId="164" fontId="4" fillId="0" borderId="0" xfId="0" applyFont="1" applyAlignment="1">
      <alignment/>
    </xf>
    <xf numFmtId="174" fontId="0" fillId="0" borderId="10" xfId="0" applyNumberFormat="1" applyBorder="1" applyAlignment="1">
      <alignment/>
    </xf>
    <xf numFmtId="172" fontId="0" fillId="0" borderId="10" xfId="0" applyNumberFormat="1" applyBorder="1" applyAlignment="1">
      <alignment/>
    </xf>
    <xf numFmtId="177" fontId="0" fillId="0" borderId="10" xfId="0" applyNumberFormat="1" applyBorder="1" applyAlignment="1">
      <alignment/>
    </xf>
    <xf numFmtId="164" fontId="19" fillId="0" borderId="0" xfId="0" applyFont="1" applyAlignment="1">
      <alignment vertical="center"/>
    </xf>
    <xf numFmtId="164" fontId="21" fillId="0" borderId="0" xfId="0" applyFont="1" applyFill="1" applyBorder="1" applyAlignment="1" quotePrefix="1">
      <alignment horizontal="center" vertical="center"/>
    </xf>
    <xf numFmtId="164" fontId="0" fillId="0" borderId="0" xfId="65" applyAlignment="1">
      <alignment vertical="center"/>
      <protection/>
    </xf>
    <xf numFmtId="165" fontId="4" fillId="0" borderId="10" xfId="65" applyNumberFormat="1" applyFont="1" applyBorder="1" applyAlignment="1" applyProtection="1">
      <alignment vertical="center"/>
      <protection/>
    </xf>
    <xf numFmtId="165" fontId="4" fillId="0" borderId="11" xfId="65" applyNumberFormat="1" applyFont="1" applyBorder="1" applyAlignment="1" applyProtection="1">
      <alignment vertical="center"/>
      <protection/>
    </xf>
    <xf numFmtId="165" fontId="1" fillId="0" borderId="11" xfId="65" applyNumberFormat="1" applyFont="1" applyBorder="1" applyAlignment="1" applyProtection="1">
      <alignment vertical="center"/>
      <protection/>
    </xf>
    <xf numFmtId="165" fontId="1" fillId="0" borderId="10" xfId="65" applyNumberFormat="1" applyFont="1" applyBorder="1" applyAlignment="1" applyProtection="1">
      <alignment vertical="center"/>
      <protection/>
    </xf>
    <xf numFmtId="164" fontId="0" fillId="0" borderId="0" xfId="0" applyAlignment="1">
      <alignment vertical="center"/>
    </xf>
    <xf numFmtId="165" fontId="1" fillId="0" borderId="0" xfId="0" applyNumberFormat="1" applyFont="1" applyAlignment="1" applyProtection="1">
      <alignment vertical="center"/>
      <protection/>
    </xf>
    <xf numFmtId="165" fontId="1" fillId="0" borderId="12" xfId="0" applyNumberFormat="1" applyFont="1" applyFill="1" applyBorder="1" applyAlignment="1">
      <alignment vertical="center"/>
    </xf>
    <xf numFmtId="167" fontId="1" fillId="0" borderId="13" xfId="0" applyNumberFormat="1" applyFont="1" applyFill="1" applyBorder="1" applyAlignment="1">
      <alignment vertical="center"/>
    </xf>
    <xf numFmtId="167" fontId="1" fillId="0" borderId="0" xfId="0" applyNumberFormat="1" applyFont="1" applyFill="1" applyBorder="1" applyAlignment="1" applyProtection="1">
      <alignment vertical="center"/>
      <protection/>
    </xf>
    <xf numFmtId="164" fontId="21" fillId="0" borderId="0" xfId="0" applyFont="1" applyFill="1" applyBorder="1" applyAlignment="1">
      <alignment horizontal="center" vertical="center"/>
    </xf>
    <xf numFmtId="165" fontId="1" fillId="0" borderId="0" xfId="0" applyNumberFormat="1" applyFont="1" applyFill="1" applyBorder="1" applyAlignment="1">
      <alignment vertical="center"/>
    </xf>
    <xf numFmtId="169" fontId="1" fillId="0" borderId="0" xfId="0" applyNumberFormat="1" applyFont="1" applyFill="1" applyBorder="1" applyAlignment="1">
      <alignment vertical="center"/>
    </xf>
    <xf numFmtId="165" fontId="1" fillId="0" borderId="13" xfId="0" applyNumberFormat="1" applyFont="1" applyFill="1" applyBorder="1" applyAlignment="1" applyProtection="1">
      <alignment vertical="center"/>
      <protection/>
    </xf>
    <xf numFmtId="164" fontId="23" fillId="0" borderId="0" xfId="0" applyFont="1" applyAlignment="1">
      <alignment horizontal="center" vertical="center"/>
    </xf>
    <xf numFmtId="165" fontId="0" fillId="0" borderId="0" xfId="0" applyNumberFormat="1" applyAlignment="1" applyProtection="1">
      <alignment vertical="center"/>
      <protection/>
    </xf>
    <xf numFmtId="165" fontId="4" fillId="0" borderId="10" xfId="0" applyNumberFormat="1" applyFont="1" applyBorder="1" applyAlignment="1" applyProtection="1">
      <alignment vertical="center"/>
      <protection/>
    </xf>
    <xf numFmtId="203" fontId="0" fillId="0" borderId="0" xfId="0" applyNumberFormat="1" applyAlignment="1">
      <alignment/>
    </xf>
    <xf numFmtId="165" fontId="4" fillId="0" borderId="11" xfId="0" applyNumberFormat="1" applyFont="1" applyBorder="1" applyAlignment="1" applyProtection="1">
      <alignment vertical="center"/>
      <protection/>
    </xf>
    <xf numFmtId="203" fontId="0" fillId="0" borderId="0" xfId="0" applyNumberFormat="1" applyAlignment="1" applyProtection="1">
      <alignment vertical="center"/>
      <protection/>
    </xf>
    <xf numFmtId="164" fontId="4" fillId="0" borderId="11" xfId="0" applyFont="1" applyBorder="1" applyAlignment="1" applyProtection="1">
      <alignment vertical="center"/>
      <protection/>
    </xf>
    <xf numFmtId="164" fontId="4" fillId="0" borderId="0" xfId="0" applyFont="1" applyAlignment="1">
      <alignment vertical="center"/>
    </xf>
    <xf numFmtId="164" fontId="23" fillId="0" borderId="0" xfId="0" applyFont="1" applyAlignment="1" applyProtection="1" quotePrefix="1">
      <alignment horizontal="center" vertical="center"/>
      <protection locked="0"/>
    </xf>
    <xf numFmtId="165" fontId="1" fillId="0" borderId="10" xfId="0" applyNumberFormat="1" applyFont="1" applyBorder="1" applyAlignment="1" applyProtection="1">
      <alignment vertical="center"/>
      <protection/>
    </xf>
    <xf numFmtId="165" fontId="1" fillId="0" borderId="11" xfId="0" applyNumberFormat="1" applyFont="1" applyBorder="1" applyAlignment="1" applyProtection="1">
      <alignment vertical="center"/>
      <protection/>
    </xf>
    <xf numFmtId="164" fontId="0" fillId="0" borderId="0" xfId="0" applyAlignment="1">
      <alignment horizontal="right"/>
    </xf>
    <xf numFmtId="164" fontId="27" fillId="0" borderId="0" xfId="0" applyFont="1" applyFill="1" applyBorder="1" applyAlignment="1">
      <alignment horizontal="center"/>
    </xf>
    <xf numFmtId="164" fontId="0" fillId="0" borderId="0" xfId="0" applyAlignment="1">
      <alignment/>
    </xf>
    <xf numFmtId="164" fontId="21" fillId="0" borderId="0" xfId="0" applyFont="1" applyFill="1" applyBorder="1" applyAlignment="1" quotePrefix="1">
      <alignment horizontal="center"/>
    </xf>
    <xf numFmtId="164" fontId="27" fillId="0" borderId="0" xfId="0" applyFont="1" applyFill="1" applyBorder="1" applyAlignment="1">
      <alignment horizontal="right"/>
    </xf>
    <xf numFmtId="164" fontId="0" fillId="0" borderId="0" xfId="0" applyAlignment="1">
      <alignment horizontal="center"/>
    </xf>
    <xf numFmtId="164" fontId="0" fillId="0" borderId="0" xfId="65" applyAlignment="1">
      <alignment horizontal="center" vertical="center"/>
      <protection/>
    </xf>
    <xf numFmtId="164" fontId="23" fillId="0" borderId="0" xfId="0" applyFont="1" applyFill="1" applyBorder="1" applyAlignment="1" quotePrefix="1">
      <alignment horizontal="center" vertical="center"/>
    </xf>
    <xf numFmtId="164" fontId="23" fillId="0" borderId="0" xfId="0" applyFont="1" applyFill="1" applyBorder="1" applyAlignment="1">
      <alignment horizontal="center" vertical="center"/>
    </xf>
    <xf numFmtId="169" fontId="1" fillId="0" borderId="12" xfId="0" applyNumberFormat="1" applyFont="1" applyFill="1" applyBorder="1" applyAlignment="1" applyProtection="1">
      <alignment vertical="center"/>
      <protection/>
    </xf>
    <xf numFmtId="165" fontId="1" fillId="0" borderId="14" xfId="0" applyNumberFormat="1" applyFont="1" applyFill="1" applyBorder="1" applyAlignment="1">
      <alignment vertical="center"/>
    </xf>
    <xf numFmtId="165" fontId="1" fillId="0" borderId="0" xfId="0" applyNumberFormat="1" applyFont="1" applyAlignment="1" applyProtection="1">
      <alignment vertical="distributed"/>
      <protection/>
    </xf>
    <xf numFmtId="164" fontId="4" fillId="0" borderId="0" xfId="0" applyFont="1" applyAlignment="1">
      <alignment vertical="distributed"/>
    </xf>
    <xf numFmtId="164" fontId="0" fillId="0" borderId="0" xfId="65" applyAlignment="1">
      <alignment vertical="distributed"/>
      <protection/>
    </xf>
    <xf numFmtId="164" fontId="21" fillId="0" borderId="0" xfId="0" applyFont="1" applyFill="1" applyBorder="1" applyAlignment="1">
      <alignment horizontal="center"/>
    </xf>
    <xf numFmtId="188" fontId="0" fillId="0" borderId="10" xfId="0" applyNumberFormat="1" applyBorder="1" applyAlignment="1">
      <alignment/>
    </xf>
    <xf numFmtId="164" fontId="11" fillId="0" borderId="0" xfId="0" applyFont="1" applyAlignment="1" quotePrefix="1">
      <alignment horizontal="center"/>
    </xf>
    <xf numFmtId="164" fontId="23" fillId="0" borderId="0" xfId="0" applyFont="1" applyAlignment="1">
      <alignment horizontal="center"/>
    </xf>
    <xf numFmtId="164" fontId="23" fillId="0" borderId="0" xfId="0" applyFont="1" applyAlignment="1">
      <alignment horizontal="right"/>
    </xf>
    <xf numFmtId="164" fontId="1" fillId="11" borderId="10" xfId="0" applyFont="1" applyFill="1" applyBorder="1" applyAlignment="1" applyProtection="1">
      <alignment vertical="center"/>
      <protection/>
    </xf>
    <xf numFmtId="169" fontId="1" fillId="11" borderId="10" xfId="0" applyNumberFormat="1" applyFont="1" applyFill="1" applyBorder="1" applyAlignment="1" applyProtection="1">
      <alignment vertical="center"/>
      <protection/>
    </xf>
    <xf numFmtId="164" fontId="1" fillId="11" borderId="11" xfId="0" applyFont="1" applyFill="1" applyBorder="1" applyAlignment="1" applyProtection="1">
      <alignment vertical="center"/>
      <protection/>
    </xf>
    <xf numFmtId="169" fontId="1" fillId="11" borderId="11" xfId="0" applyNumberFormat="1" applyFont="1" applyFill="1" applyBorder="1" applyAlignment="1" applyProtection="1">
      <alignment vertical="center"/>
      <protection/>
    </xf>
    <xf numFmtId="165" fontId="1" fillId="11" borderId="11" xfId="65" applyNumberFormat="1" applyFont="1" applyFill="1" applyBorder="1" applyAlignment="1" applyProtection="1">
      <alignment vertical="center"/>
      <protection/>
    </xf>
    <xf numFmtId="169" fontId="1" fillId="11" borderId="11" xfId="65" applyNumberFormat="1" applyFont="1" applyFill="1" applyBorder="1" applyAlignment="1" applyProtection="1">
      <alignment vertical="center"/>
      <protection/>
    </xf>
    <xf numFmtId="164" fontId="0" fillId="11" borderId="10" xfId="0" applyFill="1" applyBorder="1" applyAlignment="1">
      <alignment/>
    </xf>
    <xf numFmtId="166" fontId="0" fillId="11" borderId="10" xfId="0" applyNumberFormat="1" applyFill="1" applyBorder="1" applyAlignment="1">
      <alignment/>
    </xf>
    <xf numFmtId="10" fontId="0" fillId="11" borderId="10" xfId="0" applyNumberFormat="1" applyFill="1" applyBorder="1" applyAlignment="1">
      <alignment/>
    </xf>
    <xf numFmtId="172" fontId="0" fillId="11" borderId="10" xfId="0" applyNumberFormat="1" applyFill="1" applyBorder="1" applyAlignment="1">
      <alignment/>
    </xf>
    <xf numFmtId="177" fontId="0" fillId="11" borderId="10" xfId="0" applyNumberFormat="1" applyFill="1" applyBorder="1" applyAlignment="1">
      <alignment/>
    </xf>
    <xf numFmtId="2" fontId="0" fillId="11" borderId="10" xfId="0" applyNumberFormat="1" applyFill="1" applyBorder="1" applyAlignment="1">
      <alignment/>
    </xf>
    <xf numFmtId="164" fontId="0" fillId="11" borderId="0" xfId="0" applyFill="1" applyBorder="1" applyAlignment="1">
      <alignment/>
    </xf>
    <xf numFmtId="164" fontId="0" fillId="11" borderId="0" xfId="0" applyFill="1" applyAlignment="1">
      <alignment/>
    </xf>
    <xf numFmtId="164" fontId="0" fillId="11" borderId="0" xfId="0" applyFill="1" applyAlignment="1">
      <alignment vertical="center"/>
    </xf>
    <xf numFmtId="165" fontId="33" fillId="11" borderId="13" xfId="0" applyNumberFormat="1" applyFont="1" applyFill="1" applyBorder="1" applyAlignment="1">
      <alignment vertical="center"/>
    </xf>
    <xf numFmtId="164" fontId="34" fillId="11" borderId="0" xfId="0" applyFont="1" applyFill="1" applyBorder="1" applyAlignment="1">
      <alignment horizontal="left"/>
    </xf>
    <xf numFmtId="169" fontId="25" fillId="0" borderId="14" xfId="0" applyNumberFormat="1" applyFont="1" applyFill="1" applyBorder="1" applyAlignment="1" applyProtection="1">
      <alignment vertical="center"/>
      <protection/>
    </xf>
    <xf numFmtId="10" fontId="25" fillId="0" borderId="13" xfId="0" applyNumberFormat="1" applyFont="1" applyFill="1" applyBorder="1" applyAlignment="1">
      <alignment vertical="center"/>
    </xf>
    <xf numFmtId="167" fontId="25" fillId="0" borderId="13" xfId="0" applyNumberFormat="1" applyFont="1" applyFill="1" applyBorder="1" applyAlignment="1">
      <alignment vertical="center"/>
    </xf>
    <xf numFmtId="164" fontId="13" fillId="11" borderId="0" xfId="0" applyFont="1" applyFill="1" applyAlignment="1" quotePrefix="1">
      <alignment horizontal="center"/>
    </xf>
    <xf numFmtId="164" fontId="1" fillId="11" borderId="0" xfId="0" applyFont="1" applyFill="1" applyAlignment="1" quotePrefix="1">
      <alignment horizontal="center"/>
    </xf>
    <xf numFmtId="1" fontId="0" fillId="11" borderId="0" xfId="0" applyNumberFormat="1" applyFill="1" applyAlignment="1">
      <alignment/>
    </xf>
    <xf numFmtId="164" fontId="0" fillId="11" borderId="0" xfId="0" applyFill="1" applyAlignment="1" quotePrefix="1">
      <alignment horizontal="right"/>
    </xf>
    <xf numFmtId="164" fontId="15" fillId="11" borderId="0" xfId="0" applyFont="1" applyFill="1" applyAlignment="1">
      <alignment horizontal="center"/>
    </xf>
    <xf numFmtId="164" fontId="15" fillId="11" borderId="0" xfId="0" applyFont="1" applyFill="1" applyAlignment="1" quotePrefix="1">
      <alignment horizontal="center"/>
    </xf>
    <xf numFmtId="172" fontId="0" fillId="11" borderId="0" xfId="0" applyNumberFormat="1" applyFill="1" applyAlignment="1">
      <alignment/>
    </xf>
    <xf numFmtId="165" fontId="33" fillId="10" borderId="13" xfId="0" applyNumberFormat="1" applyFont="1" applyFill="1" applyBorder="1" applyAlignment="1">
      <alignment vertical="center"/>
    </xf>
    <xf numFmtId="165" fontId="1" fillId="19" borderId="12" xfId="0" applyNumberFormat="1" applyFont="1" applyFill="1" applyBorder="1" applyAlignment="1">
      <alignment vertical="center"/>
    </xf>
    <xf numFmtId="165" fontId="1" fillId="19" borderId="14" xfId="0" applyNumberFormat="1" applyFont="1" applyFill="1" applyBorder="1" applyAlignment="1">
      <alignment vertical="center"/>
    </xf>
    <xf numFmtId="167" fontId="23" fillId="20" borderId="12" xfId="0" applyNumberFormat="1" applyFont="1" applyFill="1" applyBorder="1" applyAlignment="1" applyProtection="1">
      <alignment vertical="center"/>
      <protection/>
    </xf>
    <xf numFmtId="167" fontId="23" fillId="20" borderId="14" xfId="0" applyNumberFormat="1" applyFont="1" applyFill="1" applyBorder="1" applyAlignment="1" applyProtection="1">
      <alignment vertical="center"/>
      <protection/>
    </xf>
    <xf numFmtId="165" fontId="23" fillId="11" borderId="10" xfId="65" applyNumberFormat="1" applyFont="1" applyFill="1" applyBorder="1" applyAlignment="1" applyProtection="1">
      <alignment vertical="center"/>
      <protection/>
    </xf>
    <xf numFmtId="169" fontId="23" fillId="11" borderId="10" xfId="65" applyNumberFormat="1" applyFont="1" applyFill="1" applyBorder="1" applyAlignment="1" applyProtection="1">
      <alignment vertical="center"/>
      <protection/>
    </xf>
    <xf numFmtId="164" fontId="36" fillId="0" borderId="0" xfId="65" applyFont="1" applyAlignment="1">
      <alignment vertical="center"/>
      <protection/>
    </xf>
    <xf numFmtId="164" fontId="23" fillId="0" borderId="0" xfId="65" applyFont="1" applyAlignment="1">
      <alignment horizontal="right"/>
      <protection/>
    </xf>
    <xf numFmtId="165" fontId="30" fillId="10" borderId="15" xfId="0" applyNumberFormat="1" applyFont="1" applyFill="1" applyBorder="1" applyAlignment="1" applyProtection="1">
      <alignment vertical="center"/>
      <protection/>
    </xf>
    <xf numFmtId="164" fontId="23" fillId="0" borderId="0" xfId="0" applyFont="1" applyAlignment="1" quotePrefix="1">
      <alignment horizontal="left" indent="1"/>
    </xf>
    <xf numFmtId="165" fontId="1" fillId="11" borderId="15" xfId="0" applyNumberFormat="1" applyFont="1" applyFill="1" applyBorder="1" applyAlignment="1" applyProtection="1">
      <alignment vertical="center"/>
      <protection/>
    </xf>
    <xf numFmtId="165" fontId="1" fillId="0" borderId="15" xfId="0" applyNumberFormat="1" applyFont="1" applyFill="1" applyBorder="1" applyAlignment="1" applyProtection="1">
      <alignment vertical="center"/>
      <protection/>
    </xf>
    <xf numFmtId="165" fontId="30" fillId="19" borderId="15" xfId="0" applyNumberFormat="1" applyFont="1" applyFill="1" applyBorder="1" applyAlignment="1" applyProtection="1">
      <alignment vertical="center"/>
      <protection/>
    </xf>
    <xf numFmtId="165" fontId="30" fillId="19" borderId="16" xfId="0" applyNumberFormat="1" applyFont="1" applyFill="1" applyBorder="1" applyAlignment="1" applyProtection="1">
      <alignment vertical="center"/>
      <protection/>
    </xf>
    <xf numFmtId="165" fontId="33" fillId="10" borderId="17" xfId="0" applyNumberFormat="1" applyFont="1" applyFill="1" applyBorder="1" applyAlignment="1" applyProtection="1">
      <alignment/>
      <protection/>
    </xf>
    <xf numFmtId="165" fontId="33" fillId="10" borderId="18" xfId="0" applyNumberFormat="1" applyFont="1" applyFill="1" applyBorder="1" applyAlignment="1" applyProtection="1">
      <alignment/>
      <protection/>
    </xf>
    <xf numFmtId="165" fontId="33" fillId="10" borderId="19" xfId="0" applyNumberFormat="1" applyFont="1" applyFill="1" applyBorder="1" applyAlignment="1" applyProtection="1">
      <alignment/>
      <protection/>
    </xf>
    <xf numFmtId="165" fontId="1" fillId="10" borderId="17" xfId="0" applyNumberFormat="1" applyFont="1" applyFill="1" applyBorder="1" applyAlignment="1" applyProtection="1">
      <alignment/>
      <protection/>
    </xf>
    <xf numFmtId="165" fontId="1" fillId="10" borderId="20" xfId="0" applyNumberFormat="1" applyFont="1" applyFill="1" applyBorder="1" applyAlignment="1" applyProtection="1">
      <alignment/>
      <protection/>
    </xf>
    <xf numFmtId="165" fontId="24" fillId="19" borderId="18" xfId="0" applyNumberFormat="1" applyFont="1" applyFill="1" applyBorder="1" applyAlignment="1" applyProtection="1">
      <alignment/>
      <protection/>
    </xf>
    <xf numFmtId="165" fontId="1" fillId="19" borderId="21" xfId="0" applyNumberFormat="1" applyFont="1" applyFill="1" applyBorder="1" applyAlignment="1" applyProtection="1">
      <alignment/>
      <protection/>
    </xf>
    <xf numFmtId="165" fontId="1" fillId="19" borderId="19" xfId="0" applyNumberFormat="1" applyFont="1" applyFill="1" applyBorder="1" applyAlignment="1">
      <alignment/>
    </xf>
    <xf numFmtId="165" fontId="1" fillId="19" borderId="22" xfId="0" applyNumberFormat="1" applyFont="1" applyFill="1" applyBorder="1" applyAlignment="1">
      <alignment/>
    </xf>
    <xf numFmtId="165" fontId="24" fillId="0" borderId="18" xfId="0" applyNumberFormat="1" applyFont="1" applyFill="1" applyBorder="1" applyAlignment="1" applyProtection="1">
      <alignment/>
      <protection/>
    </xf>
    <xf numFmtId="165" fontId="1" fillId="0" borderId="21" xfId="0" applyNumberFormat="1" applyFont="1" applyFill="1" applyBorder="1" applyAlignment="1" applyProtection="1">
      <alignment/>
      <protection/>
    </xf>
    <xf numFmtId="165" fontId="1" fillId="0" borderId="19" xfId="0" applyNumberFormat="1" applyFont="1" applyFill="1" applyBorder="1" applyAlignment="1">
      <alignment/>
    </xf>
    <xf numFmtId="165" fontId="33" fillId="11" borderId="17" xfId="0" applyNumberFormat="1" applyFont="1" applyFill="1" applyBorder="1" applyAlignment="1" applyProtection="1">
      <alignment/>
      <protection/>
    </xf>
    <xf numFmtId="165" fontId="33" fillId="11" borderId="18" xfId="0" applyNumberFormat="1" applyFont="1" applyFill="1" applyBorder="1" applyAlignment="1" applyProtection="1">
      <alignment/>
      <protection/>
    </xf>
    <xf numFmtId="165" fontId="33" fillId="11" borderId="19" xfId="0" applyNumberFormat="1" applyFont="1" applyFill="1" applyBorder="1" applyAlignment="1" applyProtection="1">
      <alignment/>
      <protection/>
    </xf>
    <xf numFmtId="165" fontId="1" fillId="11" borderId="17" xfId="0" applyNumberFormat="1" applyFont="1" applyFill="1" applyBorder="1" applyAlignment="1" applyProtection="1">
      <alignment/>
      <protection/>
    </xf>
    <xf numFmtId="165" fontId="1" fillId="11" borderId="20" xfId="0" applyNumberFormat="1" applyFont="1" applyFill="1" applyBorder="1" applyAlignment="1" applyProtection="1">
      <alignment/>
      <protection/>
    </xf>
    <xf numFmtId="165" fontId="1" fillId="0" borderId="16" xfId="0" applyNumberFormat="1" applyFont="1" applyFill="1" applyBorder="1" applyAlignment="1" applyProtection="1">
      <alignment vertical="center"/>
      <protection/>
    </xf>
    <xf numFmtId="165" fontId="1" fillId="21" borderId="17" xfId="0" applyNumberFormat="1" applyFont="1" applyFill="1" applyBorder="1" applyAlignment="1" applyProtection="1">
      <alignment/>
      <protection/>
    </xf>
    <xf numFmtId="165" fontId="1" fillId="21" borderId="20" xfId="0" applyNumberFormat="1" applyFont="1" applyFill="1" applyBorder="1" applyAlignment="1" applyProtection="1">
      <alignment/>
      <protection/>
    </xf>
    <xf numFmtId="165" fontId="24" fillId="20" borderId="18" xfId="0" applyNumberFormat="1" applyFont="1" applyFill="1" applyBorder="1" applyAlignment="1" applyProtection="1">
      <alignment/>
      <protection/>
    </xf>
    <xf numFmtId="165" fontId="1" fillId="20" borderId="21" xfId="0" applyNumberFormat="1" applyFont="1" applyFill="1" applyBorder="1" applyAlignment="1" applyProtection="1">
      <alignment/>
      <protection/>
    </xf>
    <xf numFmtId="165" fontId="1" fillId="20" borderId="19" xfId="0" applyNumberFormat="1" applyFont="1" applyFill="1" applyBorder="1" applyAlignment="1">
      <alignment/>
    </xf>
    <xf numFmtId="165" fontId="23" fillId="0" borderId="22" xfId="0" applyNumberFormat="1" applyFont="1" applyFill="1" applyBorder="1" applyAlignment="1">
      <alignment/>
    </xf>
    <xf numFmtId="165" fontId="30" fillId="0" borderId="23" xfId="57" applyNumberFormat="1" applyFont="1" applyFill="1" applyBorder="1" applyAlignment="1">
      <alignment vertical="center"/>
      <protection/>
    </xf>
    <xf numFmtId="164" fontId="23" fillId="0" borderId="0" xfId="0" applyFont="1" applyFill="1" applyBorder="1" applyAlignment="1" quotePrefix="1">
      <alignment horizontal="left" vertical="center"/>
    </xf>
    <xf numFmtId="164" fontId="55" fillId="0" borderId="0" xfId="0" applyFont="1" applyFill="1" applyBorder="1" applyAlignment="1">
      <alignment horizontal="center" vertical="center"/>
    </xf>
    <xf numFmtId="164" fontId="56" fillId="0" borderId="0" xfId="0" applyFont="1" applyFill="1" applyBorder="1" applyAlignment="1">
      <alignment horizontal="center" vertical="center"/>
    </xf>
    <xf numFmtId="165" fontId="30" fillId="11" borderId="15" xfId="0" applyNumberFormat="1" applyFont="1" applyFill="1" applyBorder="1" applyAlignment="1" applyProtection="1">
      <alignment vertical="center"/>
      <protection/>
    </xf>
    <xf numFmtId="165" fontId="1" fillId="21" borderId="17" xfId="0" applyNumberFormat="1" applyFont="1" applyFill="1" applyBorder="1" applyAlignment="1" applyProtection="1">
      <alignment vertical="center"/>
      <protection/>
    </xf>
    <xf numFmtId="165" fontId="1" fillId="21" borderId="20" xfId="0" applyNumberFormat="1" applyFont="1" applyFill="1" applyBorder="1" applyAlignment="1" applyProtection="1">
      <alignment vertical="center"/>
      <protection/>
    </xf>
    <xf numFmtId="165" fontId="23" fillId="11" borderId="10" xfId="0" applyNumberFormat="1" applyFont="1" applyFill="1" applyBorder="1" applyAlignment="1" applyProtection="1">
      <alignment vertical="center"/>
      <protection/>
    </xf>
    <xf numFmtId="165" fontId="1" fillId="11" borderId="15" xfId="0" applyNumberFormat="1" applyFont="1" applyFill="1" applyBorder="1" applyAlignment="1" applyProtection="1">
      <alignment horizontal="center" vertical="center"/>
      <protection/>
    </xf>
    <xf numFmtId="165" fontId="1" fillId="11" borderId="10" xfId="0" applyNumberFormat="1" applyFont="1" applyFill="1" applyBorder="1" applyAlignment="1" applyProtection="1">
      <alignment horizontal="center" vertical="center"/>
      <protection/>
    </xf>
    <xf numFmtId="165" fontId="1" fillId="11" borderId="17" xfId="0" applyNumberFormat="1" applyFont="1" applyFill="1" applyBorder="1" applyAlignment="1" applyProtection="1">
      <alignment horizontal="center" vertical="center"/>
      <protection/>
    </xf>
    <xf numFmtId="165" fontId="1" fillId="11" borderId="20" xfId="0" applyNumberFormat="1" applyFont="1" applyFill="1" applyBorder="1" applyAlignment="1" applyProtection="1">
      <alignment horizontal="center" vertical="center"/>
      <protection/>
    </xf>
    <xf numFmtId="164" fontId="0" fillId="11" borderId="0" xfId="0" applyFill="1" applyBorder="1" applyAlignment="1">
      <alignment vertical="center"/>
    </xf>
    <xf numFmtId="165" fontId="30" fillId="0" borderId="15" xfId="0" applyNumberFormat="1" applyFont="1" applyFill="1" applyBorder="1" applyAlignment="1" applyProtection="1">
      <alignment vertical="center"/>
      <protection/>
    </xf>
    <xf numFmtId="165" fontId="33" fillId="11" borderId="15" xfId="0" applyNumberFormat="1" applyFont="1" applyFill="1" applyBorder="1" applyAlignment="1" applyProtection="1">
      <alignment vertical="center"/>
      <protection/>
    </xf>
    <xf numFmtId="165" fontId="24" fillId="20" borderId="18" xfId="0" applyNumberFormat="1" applyFont="1" applyFill="1" applyBorder="1" applyAlignment="1" applyProtection="1">
      <alignment vertical="center"/>
      <protection/>
    </xf>
    <xf numFmtId="165" fontId="1" fillId="20" borderId="21" xfId="0" applyNumberFormat="1" applyFont="1" applyFill="1" applyBorder="1" applyAlignment="1" applyProtection="1">
      <alignment vertical="center"/>
      <protection/>
    </xf>
    <xf numFmtId="165" fontId="56" fillId="0" borderId="11" xfId="0" applyNumberFormat="1" applyFont="1" applyFill="1" applyBorder="1" applyAlignment="1" applyProtection="1">
      <alignment vertical="center"/>
      <protection/>
    </xf>
    <xf numFmtId="165" fontId="1" fillId="0" borderId="15" xfId="0" applyNumberFormat="1" applyFont="1" applyFill="1" applyBorder="1" applyAlignment="1" applyProtection="1">
      <alignment horizontal="center" vertical="center"/>
      <protection/>
    </xf>
    <xf numFmtId="165" fontId="24" fillId="0" borderId="18" xfId="0" applyNumberFormat="1" applyFont="1" applyFill="1" applyBorder="1" applyAlignment="1" applyProtection="1">
      <alignment horizontal="center" vertical="center"/>
      <protection/>
    </xf>
    <xf numFmtId="165" fontId="1" fillId="0" borderId="21" xfId="0" applyNumberFormat="1" applyFont="1" applyFill="1" applyBorder="1" applyAlignment="1" applyProtection="1">
      <alignment horizontal="center" vertical="center"/>
      <protection/>
    </xf>
    <xf numFmtId="167" fontId="1" fillId="20" borderId="12" xfId="0" applyNumberFormat="1" applyFont="1" applyFill="1" applyBorder="1" applyAlignment="1" applyProtection="1">
      <alignment vertical="center"/>
      <protection/>
    </xf>
    <xf numFmtId="167" fontId="1" fillId="20" borderId="14" xfId="0" applyNumberFormat="1" applyFont="1" applyFill="1" applyBorder="1" applyAlignment="1" applyProtection="1">
      <alignment vertical="center"/>
      <protection/>
    </xf>
    <xf numFmtId="165" fontId="30" fillId="0" borderId="16" xfId="0" applyNumberFormat="1" applyFont="1" applyFill="1" applyBorder="1" applyAlignment="1" applyProtection="1">
      <alignment vertical="center"/>
      <protection/>
    </xf>
    <xf numFmtId="165" fontId="33" fillId="11" borderId="16" xfId="0" applyNumberFormat="1" applyFont="1" applyFill="1" applyBorder="1" applyAlignment="1" applyProtection="1">
      <alignment vertical="center"/>
      <protection/>
    </xf>
    <xf numFmtId="165" fontId="1" fillId="20" borderId="19" xfId="0" applyNumberFormat="1" applyFont="1" applyFill="1" applyBorder="1" applyAlignment="1">
      <alignment vertical="center"/>
    </xf>
    <xf numFmtId="165" fontId="23" fillId="0" borderId="13" xfId="0" applyNumberFormat="1" applyFont="1" applyFill="1" applyBorder="1" applyAlignment="1">
      <alignment vertical="center"/>
    </xf>
    <xf numFmtId="165" fontId="23" fillId="0" borderId="16" xfId="0" applyNumberFormat="1" applyFont="1" applyFill="1" applyBorder="1" applyAlignment="1" applyProtection="1">
      <alignment vertical="center"/>
      <protection/>
    </xf>
    <xf numFmtId="165" fontId="1" fillId="0" borderId="16" xfId="0" applyNumberFormat="1" applyFont="1" applyFill="1" applyBorder="1" applyAlignment="1" applyProtection="1">
      <alignment horizontal="center" vertical="center"/>
      <protection/>
    </xf>
    <xf numFmtId="165" fontId="1" fillId="11" borderId="16" xfId="0" applyNumberFormat="1" applyFont="1" applyFill="1" applyBorder="1" applyAlignment="1" applyProtection="1">
      <alignment horizontal="center" vertical="center"/>
      <protection/>
    </xf>
    <xf numFmtId="165" fontId="1" fillId="0" borderId="19" xfId="0" applyNumberFormat="1" applyFont="1" applyFill="1" applyBorder="1" applyAlignment="1">
      <alignment horizontal="center" vertical="center"/>
    </xf>
    <xf numFmtId="165" fontId="1" fillId="0" borderId="22" xfId="0" applyNumberFormat="1" applyFont="1" applyFill="1" applyBorder="1" applyAlignment="1">
      <alignment horizontal="center" vertical="center"/>
    </xf>
    <xf numFmtId="164" fontId="27" fillId="0" borderId="0" xfId="0" applyFont="1" applyFill="1" applyBorder="1" applyAlignment="1">
      <alignment horizontal="center" vertical="center"/>
    </xf>
    <xf numFmtId="164" fontId="27" fillId="0" borderId="0" xfId="0" applyFont="1" applyFill="1" applyBorder="1" applyAlignment="1" quotePrefix="1">
      <alignment horizontal="center" vertical="center"/>
    </xf>
    <xf numFmtId="164" fontId="0" fillId="0" borderId="0" xfId="0" applyBorder="1" applyAlignment="1">
      <alignment vertical="center"/>
    </xf>
    <xf numFmtId="165" fontId="30" fillId="0" borderId="13" xfId="0" applyNumberFormat="1" applyFont="1" applyFill="1" applyBorder="1" applyAlignment="1" applyProtection="1">
      <alignment vertical="center"/>
      <protection/>
    </xf>
    <xf numFmtId="164" fontId="58" fillId="0" borderId="0" xfId="57" applyFont="1" applyFill="1" applyBorder="1" applyAlignment="1" quotePrefix="1">
      <alignment horizontal="center" vertical="center"/>
      <protection/>
    </xf>
    <xf numFmtId="164" fontId="58" fillId="0" borderId="0" xfId="0" applyFont="1" applyFill="1" applyBorder="1" applyAlignment="1" quotePrefix="1">
      <alignment horizontal="center" vertical="center"/>
    </xf>
    <xf numFmtId="164" fontId="58" fillId="0" borderId="0" xfId="0" applyFont="1" applyFill="1" applyBorder="1" applyAlignment="1">
      <alignment horizontal="center" vertical="center"/>
    </xf>
    <xf numFmtId="164" fontId="0" fillId="0" borderId="0" xfId="0" applyAlignment="1">
      <alignment vertical="distributed"/>
    </xf>
    <xf numFmtId="165" fontId="1" fillId="11" borderId="17" xfId="0" applyNumberFormat="1" applyFont="1" applyFill="1" applyBorder="1" applyAlignment="1" applyProtection="1">
      <alignment vertical="center"/>
      <protection/>
    </xf>
    <xf numFmtId="165" fontId="1" fillId="11" borderId="20" xfId="0" applyNumberFormat="1" applyFont="1" applyFill="1" applyBorder="1" applyAlignment="1" applyProtection="1">
      <alignment vertical="center"/>
      <protection/>
    </xf>
    <xf numFmtId="164" fontId="23" fillId="0" borderId="0" xfId="57" applyFont="1" applyFill="1" applyBorder="1" applyAlignment="1" quotePrefix="1">
      <alignment horizontal="left" vertical="center"/>
      <protection/>
    </xf>
    <xf numFmtId="165" fontId="30" fillId="11" borderId="10" xfId="0" applyNumberFormat="1" applyFont="1" applyFill="1" applyBorder="1" applyAlignment="1" applyProtection="1">
      <alignment vertical="center"/>
      <protection/>
    </xf>
    <xf numFmtId="167" fontId="25" fillId="11" borderId="15" xfId="0" applyNumberFormat="1" applyFont="1" applyFill="1" applyBorder="1" applyAlignment="1" applyProtection="1">
      <alignment vertical="center"/>
      <protection/>
    </xf>
    <xf numFmtId="167" fontId="56" fillId="11" borderId="17" xfId="0" applyNumberFormat="1" applyFont="1" applyFill="1" applyBorder="1" applyAlignment="1" applyProtection="1">
      <alignment vertical="center"/>
      <protection/>
    </xf>
    <xf numFmtId="167" fontId="1" fillId="11" borderId="20" xfId="0" applyNumberFormat="1" applyFont="1" applyFill="1" applyBorder="1" applyAlignment="1" applyProtection="1">
      <alignment vertical="center"/>
      <protection/>
    </xf>
    <xf numFmtId="165" fontId="56" fillId="11" borderId="10" xfId="0" applyNumberFormat="1" applyFont="1" applyFill="1" applyBorder="1" applyAlignment="1" applyProtection="1">
      <alignment vertical="center"/>
      <protection/>
    </xf>
    <xf numFmtId="165" fontId="56" fillId="11" borderId="17" xfId="0" applyNumberFormat="1" applyFont="1" applyFill="1" applyBorder="1" applyAlignment="1" applyProtection="1">
      <alignment vertical="center"/>
      <protection/>
    </xf>
    <xf numFmtId="165" fontId="1" fillId="0" borderId="18" xfId="0" applyNumberFormat="1" applyFont="1" applyFill="1" applyBorder="1" applyAlignment="1" applyProtection="1">
      <alignment vertical="center"/>
      <protection/>
    </xf>
    <xf numFmtId="165" fontId="1" fillId="0" borderId="21" xfId="0" applyNumberFormat="1" applyFont="1" applyFill="1" applyBorder="1" applyAlignment="1" applyProtection="1">
      <alignment vertical="center"/>
      <protection/>
    </xf>
    <xf numFmtId="165" fontId="30" fillId="0" borderId="11" xfId="0" applyNumberFormat="1" applyFont="1" applyFill="1" applyBorder="1" applyAlignment="1" applyProtection="1">
      <alignment vertical="center"/>
      <protection/>
    </xf>
    <xf numFmtId="165" fontId="24" fillId="0" borderId="18" xfId="0" applyNumberFormat="1" applyFont="1" applyFill="1" applyBorder="1" applyAlignment="1" applyProtection="1">
      <alignment vertical="center"/>
      <protection/>
    </xf>
    <xf numFmtId="167" fontId="1" fillId="0" borderId="15" xfId="0" applyNumberFormat="1" applyFont="1" applyFill="1" applyBorder="1" applyAlignment="1" applyProtection="1">
      <alignment vertical="center"/>
      <protection/>
    </xf>
    <xf numFmtId="167" fontId="1" fillId="11" borderId="15" xfId="0" applyNumberFormat="1" applyFont="1" applyFill="1" applyBorder="1" applyAlignment="1" applyProtection="1">
      <alignment vertical="center"/>
      <protection/>
    </xf>
    <xf numFmtId="167" fontId="24" fillId="0" borderId="18" xfId="0" applyNumberFormat="1" applyFont="1" applyFill="1" applyBorder="1" applyAlignment="1" applyProtection="1">
      <alignment vertical="center"/>
      <protection/>
    </xf>
    <xf numFmtId="167" fontId="1" fillId="0" borderId="21" xfId="0" applyNumberFormat="1" applyFont="1" applyFill="1" applyBorder="1" applyAlignment="1" applyProtection="1">
      <alignment vertical="center"/>
      <protection/>
    </xf>
    <xf numFmtId="167" fontId="56" fillId="0" borderId="11" xfId="0" applyNumberFormat="1" applyFont="1" applyFill="1" applyBorder="1" applyAlignment="1" applyProtection="1">
      <alignment vertical="center"/>
      <protection/>
    </xf>
    <xf numFmtId="165" fontId="1" fillId="0" borderId="19" xfId="0" applyNumberFormat="1" applyFont="1" applyFill="1" applyBorder="1" applyAlignment="1">
      <alignment vertical="center"/>
    </xf>
    <xf numFmtId="165" fontId="1" fillId="0" borderId="22" xfId="0" applyNumberFormat="1" applyFont="1" applyFill="1" applyBorder="1" applyAlignment="1">
      <alignment vertical="center"/>
    </xf>
    <xf numFmtId="164" fontId="23" fillId="0" borderId="0" xfId="57" applyFont="1" applyFill="1" applyBorder="1" applyAlignment="1">
      <alignment horizontal="left" vertical="center"/>
      <protection/>
    </xf>
    <xf numFmtId="165" fontId="56" fillId="0" borderId="16" xfId="0" applyNumberFormat="1" applyFont="1" applyFill="1" applyBorder="1" applyAlignment="1" applyProtection="1">
      <alignment vertical="center"/>
      <protection/>
    </xf>
    <xf numFmtId="167" fontId="1" fillId="11" borderId="16" xfId="0" applyNumberFormat="1" applyFont="1" applyFill="1" applyBorder="1" applyAlignment="1" applyProtection="1">
      <alignment vertical="center"/>
      <protection/>
    </xf>
    <xf numFmtId="167" fontId="1" fillId="0" borderId="19" xfId="0" applyNumberFormat="1" applyFont="1" applyFill="1" applyBorder="1" applyAlignment="1">
      <alignment vertical="center"/>
    </xf>
    <xf numFmtId="167" fontId="23" fillId="0" borderId="22" xfId="0" applyNumberFormat="1" applyFont="1" applyFill="1" applyBorder="1" applyAlignment="1">
      <alignment vertical="center"/>
    </xf>
    <xf numFmtId="167" fontId="23" fillId="0" borderId="16" xfId="0" applyNumberFormat="1" applyFont="1" applyFill="1" applyBorder="1" applyAlignment="1" applyProtection="1">
      <alignment vertical="center"/>
      <protection/>
    </xf>
    <xf numFmtId="165" fontId="56" fillId="0" borderId="22" xfId="0" applyNumberFormat="1" applyFont="1" applyFill="1" applyBorder="1" applyAlignment="1">
      <alignment vertical="center"/>
    </xf>
    <xf numFmtId="164" fontId="0" fillId="0" borderId="0" xfId="0" applyFont="1" applyAlignment="1">
      <alignment vertical="center"/>
    </xf>
    <xf numFmtId="165" fontId="1" fillId="0" borderId="24" xfId="0" applyNumberFormat="1" applyFont="1" applyFill="1" applyBorder="1" applyAlignment="1">
      <alignment vertical="center"/>
    </xf>
    <xf numFmtId="164" fontId="23" fillId="0" borderId="0" xfId="57" applyFont="1" applyFill="1" applyBorder="1" applyAlignment="1">
      <alignment horizontal="center" vertical="center"/>
      <protection/>
    </xf>
    <xf numFmtId="164" fontId="37" fillId="0" borderId="0" xfId="57" applyAlignment="1">
      <alignment vertical="center"/>
      <protection/>
    </xf>
    <xf numFmtId="164" fontId="55" fillId="0" borderId="0" xfId="0" applyFont="1" applyFill="1" applyBorder="1" applyAlignment="1">
      <alignment horizontal="center"/>
    </xf>
    <xf numFmtId="164" fontId="56" fillId="0" borderId="0" xfId="57" applyFont="1" applyFill="1" applyBorder="1" applyAlignment="1">
      <alignment horizontal="center" vertical="center"/>
      <protection/>
    </xf>
    <xf numFmtId="165" fontId="23" fillId="0" borderId="14" xfId="0" applyNumberFormat="1" applyFont="1" applyFill="1" applyBorder="1" applyAlignment="1">
      <alignment vertical="center"/>
    </xf>
    <xf numFmtId="164" fontId="23" fillId="11" borderId="0" xfId="0" applyFont="1" applyFill="1" applyAlignment="1">
      <alignment horizontal="right" vertical="center"/>
    </xf>
    <xf numFmtId="174" fontId="1" fillId="11" borderId="0" xfId="0" applyNumberFormat="1" applyFont="1" applyFill="1" applyAlignment="1">
      <alignment horizontal="left" vertical="center"/>
    </xf>
    <xf numFmtId="205" fontId="1" fillId="11" borderId="0" xfId="0" applyNumberFormat="1" applyFont="1" applyFill="1" applyAlignment="1">
      <alignment horizontal="left" vertical="center"/>
    </xf>
    <xf numFmtId="165" fontId="1" fillId="10" borderId="17" xfId="0" applyNumberFormat="1" applyFont="1" applyFill="1" applyBorder="1" applyAlignment="1" applyProtection="1">
      <alignment vertical="center"/>
      <protection/>
    </xf>
    <xf numFmtId="165" fontId="1" fillId="10" borderId="20" xfId="0" applyNumberFormat="1" applyFont="1" applyFill="1" applyBorder="1" applyAlignment="1" applyProtection="1">
      <alignment vertical="center"/>
      <protection/>
    </xf>
    <xf numFmtId="210" fontId="1" fillId="11" borderId="0" xfId="0" applyNumberFormat="1" applyFont="1" applyFill="1" applyAlignment="1">
      <alignment horizontal="left" vertical="center"/>
    </xf>
    <xf numFmtId="165" fontId="1" fillId="19" borderId="21" xfId="0" applyNumberFormat="1" applyFont="1" applyFill="1" applyBorder="1" applyAlignment="1" applyProtection="1">
      <alignment vertical="center"/>
      <protection/>
    </xf>
    <xf numFmtId="165" fontId="1" fillId="19" borderId="19" xfId="0" applyNumberFormat="1" applyFont="1" applyFill="1" applyBorder="1" applyAlignment="1">
      <alignment vertical="center"/>
    </xf>
    <xf numFmtId="165" fontId="1" fillId="19" borderId="22" xfId="0" applyNumberFormat="1" applyFont="1" applyFill="1" applyBorder="1" applyAlignment="1">
      <alignment vertical="center"/>
    </xf>
    <xf numFmtId="164" fontId="59" fillId="0" borderId="0" xfId="0" applyFont="1" applyAlignment="1">
      <alignment vertical="center"/>
    </xf>
    <xf numFmtId="164" fontId="61" fillId="0" borderId="0" xfId="58" applyFont="1" applyAlignment="1" quotePrefix="1">
      <alignment horizontal="center" vertical="center"/>
      <protection/>
    </xf>
    <xf numFmtId="165" fontId="1" fillId="11" borderId="10" xfId="0" applyNumberFormat="1" applyFont="1" applyFill="1" applyBorder="1" applyAlignment="1" applyProtection="1">
      <alignment vertical="center"/>
      <protection/>
    </xf>
    <xf numFmtId="164" fontId="37" fillId="0" borderId="0" xfId="57">
      <alignment/>
      <protection/>
    </xf>
    <xf numFmtId="169" fontId="1" fillId="0" borderId="11" xfId="0" applyNumberFormat="1" applyFont="1" applyFill="1" applyBorder="1" applyAlignment="1" applyProtection="1">
      <alignment vertical="center"/>
      <protection/>
    </xf>
    <xf numFmtId="165" fontId="23" fillId="11" borderId="16" xfId="0" applyNumberFormat="1" applyFont="1" applyFill="1" applyBorder="1" applyAlignment="1" applyProtection="1">
      <alignment vertical="center"/>
      <protection/>
    </xf>
    <xf numFmtId="169" fontId="23" fillId="0" borderId="16" xfId="0" applyNumberFormat="1" applyFont="1" applyFill="1" applyBorder="1" applyAlignment="1" applyProtection="1">
      <alignment vertical="center"/>
      <protection/>
    </xf>
    <xf numFmtId="167" fontId="1" fillId="0" borderId="23" xfId="57" applyNumberFormat="1" applyFont="1" applyFill="1" applyBorder="1" applyAlignment="1">
      <alignment vertical="center"/>
      <protection/>
    </xf>
    <xf numFmtId="169" fontId="1" fillId="0" borderId="24" xfId="0" applyNumberFormat="1" applyFont="1" applyFill="1" applyBorder="1" applyAlignment="1">
      <alignment vertical="center"/>
    </xf>
    <xf numFmtId="169" fontId="1" fillId="0" borderId="14" xfId="0" applyNumberFormat="1" applyFont="1" applyFill="1" applyBorder="1" applyAlignment="1">
      <alignment vertical="center"/>
    </xf>
    <xf numFmtId="164" fontId="62" fillId="0" borderId="0" xfId="57" applyFont="1" applyAlignment="1">
      <alignment horizontal="center" vertical="center"/>
      <protection/>
    </xf>
    <xf numFmtId="165" fontId="30" fillId="11" borderId="13" xfId="0" applyNumberFormat="1" applyFont="1" applyFill="1" applyBorder="1" applyAlignment="1">
      <alignment vertical="center"/>
    </xf>
    <xf numFmtId="165" fontId="30" fillId="0" borderId="12" xfId="0" applyNumberFormat="1" applyFont="1" applyFill="1" applyBorder="1" applyAlignment="1">
      <alignment vertical="center"/>
    </xf>
    <xf numFmtId="165" fontId="30" fillId="0" borderId="14" xfId="0" applyNumberFormat="1" applyFont="1" applyFill="1" applyBorder="1" applyAlignment="1">
      <alignment vertical="center"/>
    </xf>
    <xf numFmtId="167" fontId="1" fillId="11" borderId="13" xfId="0" applyNumberFormat="1" applyFont="1" applyFill="1" applyBorder="1" applyAlignment="1">
      <alignment vertical="center"/>
    </xf>
    <xf numFmtId="164" fontId="30" fillId="0" borderId="0" xfId="0" applyFont="1" applyFill="1" applyBorder="1" applyAlignment="1">
      <alignment horizontal="center"/>
    </xf>
    <xf numFmtId="165" fontId="30" fillId="11" borderId="25" xfId="0" applyNumberFormat="1" applyFont="1" applyFill="1" applyBorder="1" applyAlignment="1" applyProtection="1">
      <alignment vertical="center"/>
      <protection/>
    </xf>
    <xf numFmtId="165" fontId="30" fillId="11" borderId="20" xfId="0" applyNumberFormat="1" applyFont="1" applyFill="1" applyBorder="1" applyAlignment="1" applyProtection="1">
      <alignment vertical="center"/>
      <protection/>
    </xf>
    <xf numFmtId="169" fontId="56" fillId="11" borderId="25" xfId="0" applyNumberFormat="1" applyFont="1" applyFill="1" applyBorder="1" applyAlignment="1" applyProtection="1">
      <alignment vertical="center"/>
      <protection/>
    </xf>
    <xf numFmtId="169" fontId="23" fillId="11" borderId="20" xfId="0" applyNumberFormat="1" applyFont="1" applyFill="1" applyBorder="1" applyAlignment="1" applyProtection="1">
      <alignment vertical="center"/>
      <protection/>
    </xf>
    <xf numFmtId="164" fontId="56" fillId="0" borderId="0" xfId="0" applyFont="1" applyFill="1" applyBorder="1" applyAlignment="1" quotePrefix="1">
      <alignment horizontal="left" vertical="center"/>
    </xf>
    <xf numFmtId="165" fontId="30" fillId="0" borderId="18" xfId="0" applyNumberFormat="1" applyFont="1" applyFill="1" applyBorder="1" applyAlignment="1" applyProtection="1">
      <alignment vertical="center"/>
      <protection/>
    </xf>
    <xf numFmtId="165" fontId="30" fillId="0" borderId="21" xfId="0" applyNumberFormat="1" applyFont="1" applyFill="1" applyBorder="1" applyAlignment="1" applyProtection="1">
      <alignment vertical="center"/>
      <protection/>
    </xf>
    <xf numFmtId="167" fontId="1" fillId="0" borderId="11" xfId="0" applyNumberFormat="1" applyFont="1" applyFill="1" applyBorder="1" applyAlignment="1" applyProtection="1">
      <alignment vertical="center"/>
      <protection/>
    </xf>
    <xf numFmtId="169" fontId="1" fillId="0" borderId="18" xfId="0" applyNumberFormat="1" applyFont="1" applyFill="1" applyBorder="1" applyAlignment="1" applyProtection="1">
      <alignment vertical="center"/>
      <protection/>
    </xf>
    <xf numFmtId="169" fontId="1" fillId="0" borderId="21" xfId="0" applyNumberFormat="1" applyFont="1" applyFill="1" applyBorder="1" applyAlignment="1" applyProtection="1">
      <alignment vertical="center"/>
      <protection/>
    </xf>
    <xf numFmtId="165" fontId="30" fillId="11" borderId="16" xfId="0" applyNumberFormat="1" applyFont="1" applyFill="1" applyBorder="1" applyAlignment="1" applyProtection="1">
      <alignment vertical="center"/>
      <protection/>
    </xf>
    <xf numFmtId="165" fontId="30" fillId="0" borderId="19" xfId="0" applyNumberFormat="1" applyFont="1" applyFill="1" applyBorder="1" applyAlignment="1" applyProtection="1">
      <alignment vertical="center"/>
      <protection/>
    </xf>
    <xf numFmtId="165" fontId="30" fillId="0" borderId="22" xfId="0" applyNumberFormat="1" applyFont="1" applyFill="1" applyBorder="1" applyAlignment="1" applyProtection="1">
      <alignment vertical="center"/>
      <protection/>
    </xf>
    <xf numFmtId="169" fontId="1" fillId="0" borderId="19" xfId="0" applyNumberFormat="1" applyFont="1" applyFill="1" applyBorder="1" applyAlignment="1">
      <alignment vertical="center"/>
    </xf>
    <xf numFmtId="169" fontId="56" fillId="0" borderId="22" xfId="0" applyNumberFormat="1" applyFont="1" applyFill="1" applyBorder="1" applyAlignment="1">
      <alignment vertical="center"/>
    </xf>
    <xf numFmtId="164" fontId="0" fillId="0" borderId="0" xfId="58" applyAlignment="1">
      <alignment vertical="center"/>
      <protection/>
    </xf>
    <xf numFmtId="164" fontId="55" fillId="0" borderId="0" xfId="0" applyFont="1" applyFill="1" applyBorder="1" applyAlignment="1" quotePrefix="1">
      <alignment horizontal="center" vertical="center"/>
    </xf>
    <xf numFmtId="167" fontId="1" fillId="0" borderId="24" xfId="0" applyNumberFormat="1" applyFont="1" applyFill="1" applyBorder="1" applyAlignment="1">
      <alignment vertical="center"/>
    </xf>
    <xf numFmtId="167" fontId="1" fillId="0" borderId="14" xfId="0" applyNumberFormat="1" applyFont="1" applyFill="1" applyBorder="1" applyAlignment="1">
      <alignment vertical="center"/>
    </xf>
    <xf numFmtId="167" fontId="1" fillId="0" borderId="13" xfId="57" applyNumberFormat="1" applyFont="1" applyFill="1" applyBorder="1" applyAlignment="1" applyProtection="1" quotePrefix="1">
      <alignment vertical="center"/>
      <protection/>
    </xf>
    <xf numFmtId="165" fontId="1" fillId="8" borderId="12" xfId="0" applyNumberFormat="1" applyFont="1" applyFill="1" applyBorder="1" applyAlignment="1">
      <alignment vertical="center"/>
    </xf>
    <xf numFmtId="165" fontId="1" fillId="8" borderId="14" xfId="0" applyNumberFormat="1" applyFont="1" applyFill="1" applyBorder="1" applyAlignment="1">
      <alignment vertical="center"/>
    </xf>
    <xf numFmtId="165" fontId="33" fillId="10" borderId="17" xfId="0" applyNumberFormat="1" applyFont="1" applyFill="1" applyBorder="1" applyAlignment="1" applyProtection="1">
      <alignment vertical="center"/>
      <protection/>
    </xf>
    <xf numFmtId="165" fontId="24" fillId="8" borderId="18" xfId="0" applyNumberFormat="1" applyFont="1" applyFill="1" applyBorder="1" applyAlignment="1" applyProtection="1">
      <alignment vertical="center"/>
      <protection/>
    </xf>
    <xf numFmtId="165" fontId="1" fillId="8" borderId="21" xfId="0" applyNumberFormat="1" applyFont="1" applyFill="1" applyBorder="1" applyAlignment="1" applyProtection="1">
      <alignment vertical="center"/>
      <protection/>
    </xf>
    <xf numFmtId="165" fontId="33" fillId="10" borderId="18" xfId="0" applyNumberFormat="1" applyFont="1" applyFill="1" applyBorder="1" applyAlignment="1" applyProtection="1">
      <alignment vertical="center"/>
      <protection/>
    </xf>
    <xf numFmtId="165" fontId="24" fillId="19" borderId="18" xfId="0" applyNumberFormat="1" applyFont="1" applyFill="1" applyBorder="1" applyAlignment="1" applyProtection="1">
      <alignment vertical="center"/>
      <protection/>
    </xf>
    <xf numFmtId="165" fontId="30" fillId="8" borderId="16" xfId="0" applyNumberFormat="1" applyFont="1" applyFill="1" applyBorder="1" applyAlignment="1" applyProtection="1">
      <alignment vertical="center"/>
      <protection/>
    </xf>
    <xf numFmtId="165" fontId="1" fillId="8" borderId="19" xfId="0" applyNumberFormat="1" applyFont="1" applyFill="1" applyBorder="1" applyAlignment="1">
      <alignment vertical="center"/>
    </xf>
    <xf numFmtId="165" fontId="23" fillId="8" borderId="22" xfId="0" applyNumberFormat="1" applyFont="1" applyFill="1" applyBorder="1" applyAlignment="1">
      <alignment vertical="center"/>
    </xf>
    <xf numFmtId="165" fontId="33" fillId="10" borderId="19" xfId="0" applyNumberFormat="1" applyFont="1" applyFill="1" applyBorder="1" applyAlignment="1" applyProtection="1">
      <alignment vertical="center"/>
      <protection/>
    </xf>
    <xf numFmtId="164" fontId="67" fillId="0" borderId="0" xfId="0" applyFont="1" applyAlignment="1">
      <alignment vertical="center"/>
    </xf>
    <xf numFmtId="164" fontId="68" fillId="0" borderId="0" xfId="0" applyFont="1" applyFill="1" applyBorder="1" applyAlignment="1">
      <alignment horizontal="center" vertical="center"/>
    </xf>
    <xf numFmtId="164" fontId="69" fillId="0" borderId="0" xfId="0" applyFont="1" applyFill="1" applyBorder="1" applyAlignment="1" quotePrefix="1">
      <alignment horizontal="center" vertical="center"/>
    </xf>
    <xf numFmtId="164" fontId="69" fillId="0" borderId="0" xfId="0" applyFont="1" applyFill="1" applyBorder="1" applyAlignment="1">
      <alignment horizontal="center" vertical="center"/>
    </xf>
    <xf numFmtId="164" fontId="30" fillId="0" borderId="0" xfId="0" applyFont="1" applyFill="1" applyBorder="1" applyAlignment="1" quotePrefix="1">
      <alignment horizontal="center" vertical="center"/>
    </xf>
    <xf numFmtId="165" fontId="30" fillId="11" borderId="17" xfId="0" applyNumberFormat="1" applyFont="1" applyFill="1" applyBorder="1" applyAlignment="1" applyProtection="1">
      <alignment vertical="center"/>
      <protection/>
    </xf>
    <xf numFmtId="165" fontId="30" fillId="11" borderId="18" xfId="0" applyNumberFormat="1" applyFont="1" applyFill="1" applyBorder="1" applyAlignment="1" applyProtection="1">
      <alignment vertical="center"/>
      <protection/>
    </xf>
    <xf numFmtId="165" fontId="30" fillId="11" borderId="19" xfId="0" applyNumberFormat="1" applyFont="1" applyFill="1" applyBorder="1" applyAlignment="1" applyProtection="1">
      <alignment vertical="center"/>
      <protection/>
    </xf>
    <xf numFmtId="165" fontId="30" fillId="0" borderId="19" xfId="0" applyNumberFormat="1" applyFont="1" applyFill="1" applyBorder="1" applyAlignment="1">
      <alignment vertical="center"/>
    </xf>
    <xf numFmtId="165" fontId="23" fillId="0" borderId="22" xfId="0" applyNumberFormat="1" applyFont="1" applyFill="1" applyBorder="1" applyAlignment="1">
      <alignment vertical="center"/>
    </xf>
    <xf numFmtId="165" fontId="56" fillId="22" borderId="17" xfId="0" applyNumberFormat="1" applyFont="1" applyFill="1" applyBorder="1" applyAlignment="1" applyProtection="1">
      <alignment vertical="center"/>
      <protection/>
    </xf>
    <xf numFmtId="164" fontId="37" fillId="0" borderId="0" xfId="57" applyBorder="1" applyAlignment="1">
      <alignment vertical="center"/>
      <protection/>
    </xf>
    <xf numFmtId="164" fontId="23" fillId="0" borderId="0" xfId="57" applyFont="1" applyAlignment="1" quotePrefix="1">
      <alignment horizontal="left" vertical="center"/>
      <protection/>
    </xf>
    <xf numFmtId="164" fontId="66" fillId="0" borderId="0" xfId="57" applyFont="1" applyFill="1" applyBorder="1" applyAlignment="1" quotePrefix="1">
      <alignment horizontal="center" vertical="center"/>
      <protection/>
    </xf>
    <xf numFmtId="164" fontId="55" fillId="0" borderId="0" xfId="57" applyFont="1" applyFill="1" applyBorder="1" applyAlignment="1">
      <alignment horizontal="center"/>
      <protection/>
    </xf>
    <xf numFmtId="164" fontId="37" fillId="0" borderId="0" xfId="57" applyFill="1" applyAlignment="1">
      <alignment vertical="center"/>
      <protection/>
    </xf>
    <xf numFmtId="164" fontId="23" fillId="0" borderId="0" xfId="57" applyFont="1" applyFill="1" applyBorder="1" applyAlignment="1">
      <alignment horizontal="right" vertical="center" indent="1"/>
      <protection/>
    </xf>
    <xf numFmtId="167" fontId="1" fillId="0" borderId="23" xfId="57" applyNumberFormat="1" applyFont="1" applyFill="1" applyBorder="1" applyAlignment="1" applyProtection="1">
      <alignment vertical="center"/>
      <protection/>
    </xf>
    <xf numFmtId="164" fontId="27" fillId="0" borderId="0" xfId="57" applyFont="1" applyFill="1" applyBorder="1" applyAlignment="1">
      <alignment horizontal="center" vertical="center"/>
      <protection/>
    </xf>
    <xf numFmtId="164" fontId="30" fillId="0" borderId="0" xfId="57" applyFont="1" applyFill="1" applyBorder="1" applyAlignment="1" quotePrefix="1">
      <alignment horizontal="right" vertical="center"/>
      <protection/>
    </xf>
    <xf numFmtId="165" fontId="30" fillId="8" borderId="11" xfId="0" applyNumberFormat="1" applyFont="1" applyFill="1" applyBorder="1" applyAlignment="1" applyProtection="1">
      <alignment vertical="center"/>
      <protection/>
    </xf>
    <xf numFmtId="164" fontId="23" fillId="0" borderId="0" xfId="57" applyFont="1" applyFill="1" applyBorder="1" applyAlignment="1">
      <alignment horizontal="right" vertical="center"/>
      <protection/>
    </xf>
    <xf numFmtId="164" fontId="30" fillId="0" borderId="0" xfId="57" applyFont="1" applyFill="1" applyBorder="1" applyAlignment="1">
      <alignment horizontal="right" vertical="center"/>
      <protection/>
    </xf>
    <xf numFmtId="164" fontId="30" fillId="0" borderId="0" xfId="61" applyFont="1" applyFill="1" applyBorder="1" applyAlignment="1">
      <alignment horizontal="center" vertical="center"/>
      <protection/>
    </xf>
    <xf numFmtId="167" fontId="25" fillId="0" borderId="16" xfId="0" applyNumberFormat="1" applyFont="1" applyFill="1" applyBorder="1" applyAlignment="1" applyProtection="1">
      <alignment vertical="center"/>
      <protection/>
    </xf>
    <xf numFmtId="164" fontId="27" fillId="0" borderId="0" xfId="0" applyFont="1" applyAlignment="1" applyProtection="1">
      <alignment horizontal="right"/>
      <protection locked="0"/>
    </xf>
    <xf numFmtId="164" fontId="23" fillId="0" borderId="0" xfId="0" applyFont="1" applyAlignment="1" applyProtection="1">
      <alignment horizontal="right" vertical="center"/>
      <protection locked="0"/>
    </xf>
    <xf numFmtId="164" fontId="0" fillId="0" borderId="0" xfId="65" applyAlignment="1">
      <alignment horizontal="right"/>
      <protection/>
    </xf>
    <xf numFmtId="164" fontId="5" fillId="0" borderId="0" xfId="0" applyFont="1" applyAlignment="1" applyProtection="1">
      <alignment horizontal="right" vertical="center"/>
      <protection locked="0"/>
    </xf>
    <xf numFmtId="165" fontId="25" fillId="0" borderId="18" xfId="0" applyNumberFormat="1" applyFont="1" applyFill="1" applyBorder="1" applyAlignment="1" applyProtection="1">
      <alignment/>
      <protection/>
    </xf>
    <xf numFmtId="165" fontId="25" fillId="0" borderId="21" xfId="0" applyNumberFormat="1" applyFont="1" applyFill="1" applyBorder="1" applyAlignment="1" applyProtection="1">
      <alignment/>
      <protection/>
    </xf>
    <xf numFmtId="165" fontId="25" fillId="0" borderId="19" xfId="0" applyNumberFormat="1" applyFont="1" applyFill="1" applyBorder="1" applyAlignment="1">
      <alignment/>
    </xf>
    <xf numFmtId="165" fontId="25" fillId="0" borderId="22" xfId="0" applyNumberFormat="1" applyFont="1" applyFill="1" applyBorder="1" applyAlignment="1">
      <alignment/>
    </xf>
    <xf numFmtId="164" fontId="30" fillId="0" borderId="0" xfId="62" applyFont="1" applyFill="1" applyBorder="1" applyAlignment="1" quotePrefix="1">
      <alignment horizontal="left" vertical="center"/>
      <protection/>
    </xf>
    <xf numFmtId="167" fontId="1" fillId="0" borderId="15" xfId="0" applyNumberFormat="1" applyFont="1" applyFill="1" applyBorder="1" applyAlignment="1" applyProtection="1">
      <alignment horizontal="right" vertical="center"/>
      <protection/>
    </xf>
    <xf numFmtId="167" fontId="1" fillId="0" borderId="16" xfId="0" applyNumberFormat="1" applyFont="1" applyFill="1" applyBorder="1" applyAlignment="1" applyProtection="1">
      <alignment horizontal="right" vertical="center"/>
      <protection/>
    </xf>
    <xf numFmtId="164" fontId="30" fillId="0" borderId="0" xfId="57" applyFont="1" applyFill="1" applyBorder="1" applyAlignment="1">
      <alignment horizontal="center" vertical="center"/>
      <protection/>
    </xf>
    <xf numFmtId="164" fontId="27" fillId="0" borderId="0" xfId="0" applyFont="1" applyFill="1" applyBorder="1" applyAlignment="1">
      <alignment horizontal="left" vertical="center"/>
    </xf>
    <xf numFmtId="165" fontId="1" fillId="0" borderId="13" xfId="0" applyNumberFormat="1" applyFont="1" applyFill="1" applyBorder="1" applyAlignment="1">
      <alignment/>
    </xf>
    <xf numFmtId="165" fontId="57" fillId="0" borderId="0" xfId="0" applyNumberFormat="1" applyFont="1" applyFill="1" applyBorder="1" applyAlignment="1" applyProtection="1">
      <alignment vertical="center"/>
      <protection/>
    </xf>
    <xf numFmtId="165" fontId="73" fillId="11" borderId="0" xfId="0" applyNumberFormat="1" applyFont="1" applyFill="1" applyBorder="1" applyAlignment="1" applyProtection="1">
      <alignment vertical="center"/>
      <protection/>
    </xf>
    <xf numFmtId="165" fontId="73" fillId="11" borderId="0" xfId="0" applyNumberFormat="1" applyFont="1" applyFill="1" applyBorder="1" applyAlignment="1">
      <alignment vertical="center"/>
    </xf>
    <xf numFmtId="164" fontId="75" fillId="0" borderId="0" xfId="0" applyFont="1" applyFill="1" applyBorder="1" applyAlignment="1">
      <alignment horizontal="center"/>
    </xf>
    <xf numFmtId="167" fontId="56" fillId="11" borderId="15" xfId="0" applyNumberFormat="1" applyFont="1" applyFill="1" applyBorder="1" applyAlignment="1" applyProtection="1">
      <alignment vertical="center"/>
      <protection/>
    </xf>
    <xf numFmtId="164" fontId="23" fillId="0" borderId="0" xfId="64" applyFont="1" applyFill="1" applyBorder="1" applyAlignment="1" quotePrefix="1">
      <alignment horizontal="center"/>
      <protection/>
    </xf>
    <xf numFmtId="164" fontId="23" fillId="0" borderId="0" xfId="60" applyFont="1" applyFill="1" applyBorder="1" applyAlignment="1" quotePrefix="1">
      <alignment horizontal="right" vertical="center" indent="1"/>
      <protection/>
    </xf>
    <xf numFmtId="164" fontId="23" fillId="0" borderId="0" xfId="60" applyFont="1" applyFill="1" applyBorder="1" applyAlignment="1">
      <alignment horizontal="right" vertical="center" indent="1"/>
      <protection/>
    </xf>
    <xf numFmtId="164" fontId="56" fillId="0" borderId="0" xfId="60" applyFont="1" applyFill="1" applyBorder="1" applyAlignment="1">
      <alignment horizontal="right" vertical="center" indent="1"/>
      <protection/>
    </xf>
    <xf numFmtId="164" fontId="76" fillId="0" borderId="0" xfId="57" applyFont="1" applyAlignment="1">
      <alignment vertical="center"/>
      <protection/>
    </xf>
    <xf numFmtId="165" fontId="30" fillId="22" borderId="10" xfId="0" applyNumberFormat="1" applyFont="1" applyFill="1" applyBorder="1" applyAlignment="1" applyProtection="1">
      <alignment vertical="center"/>
      <protection/>
    </xf>
    <xf numFmtId="164" fontId="23" fillId="0" borderId="0" xfId="57" applyFont="1" applyFill="1" applyBorder="1" applyAlignment="1" quotePrefix="1">
      <alignment horizontal="right" vertical="center" indent="1"/>
      <protection/>
    </xf>
    <xf numFmtId="164" fontId="23" fillId="0" borderId="0" xfId="57" applyFont="1" applyFill="1" applyBorder="1" applyAlignment="1" quotePrefix="1">
      <alignment horizontal="right" vertical="center"/>
      <protection/>
    </xf>
    <xf numFmtId="164" fontId="23" fillId="0" borderId="0" xfId="0" applyFont="1" applyFill="1" applyBorder="1" applyAlignment="1">
      <alignment horizontal="right" vertical="center" indent="1"/>
    </xf>
    <xf numFmtId="164" fontId="23" fillId="0" borderId="0" xfId="0" applyFont="1" applyFill="1" applyBorder="1" applyAlignment="1">
      <alignment horizontal="right" vertical="center"/>
    </xf>
    <xf numFmtId="164" fontId="35" fillId="0" borderId="0" xfId="57" applyFont="1" applyFill="1" applyBorder="1" applyAlignment="1">
      <alignment horizontal="right" vertical="center" indent="1"/>
      <protection/>
    </xf>
    <xf numFmtId="164" fontId="20" fillId="0" borderId="0" xfId="57" applyFont="1" applyFill="1" applyBorder="1" applyAlignment="1">
      <alignment horizontal="left" vertical="center"/>
      <protection/>
    </xf>
    <xf numFmtId="164" fontId="77" fillId="0" borderId="0" xfId="62" applyFont="1" applyAlignment="1">
      <alignment horizontal="center"/>
      <protection/>
    </xf>
    <xf numFmtId="164" fontId="63" fillId="0" borderId="0" xfId="62" applyFont="1" applyFill="1" applyBorder="1" applyAlignment="1" quotePrefix="1">
      <alignment horizontal="right" indent="2"/>
      <protection/>
    </xf>
    <xf numFmtId="164" fontId="30" fillId="0" borderId="0" xfId="61" applyFont="1" applyFill="1" applyBorder="1" applyAlignment="1" quotePrefix="1">
      <alignment horizontal="right" vertical="center"/>
      <protection/>
    </xf>
    <xf numFmtId="164" fontId="35" fillId="0" borderId="0" xfId="57" applyFont="1" applyFill="1" applyBorder="1" applyAlignment="1">
      <alignment horizontal="center" vertical="center"/>
      <protection/>
    </xf>
    <xf numFmtId="164" fontId="23" fillId="0" borderId="0" xfId="59" applyFont="1" applyFill="1" applyBorder="1" applyAlignment="1">
      <alignment horizontal="center"/>
      <protection/>
    </xf>
    <xf numFmtId="164" fontId="23" fillId="0" borderId="0" xfId="0" applyFont="1" applyFill="1" applyBorder="1" applyAlignment="1">
      <alignment horizontal="left" vertical="center"/>
    </xf>
    <xf numFmtId="164" fontId="23" fillId="0" borderId="0" xfId="60" applyFont="1" applyFill="1" applyBorder="1" applyAlignment="1" quotePrefix="1">
      <alignment horizontal="right" vertical="center"/>
      <protection/>
    </xf>
    <xf numFmtId="164" fontId="66" fillId="0" borderId="0" xfId="57" applyFont="1" applyFill="1" applyBorder="1" applyAlignment="1" quotePrefix="1">
      <alignment vertical="center" wrapText="1"/>
      <protection/>
    </xf>
    <xf numFmtId="164" fontId="23" fillId="0" borderId="0" xfId="57" applyFont="1" applyFill="1" applyBorder="1" applyAlignment="1" quotePrefix="1">
      <alignment vertical="center" wrapText="1"/>
      <protection/>
    </xf>
    <xf numFmtId="164" fontId="30" fillId="0" borderId="0" xfId="63" applyFont="1" applyFill="1" applyBorder="1" applyAlignment="1">
      <alignment horizontal="right" vertical="center" indent="1"/>
      <protection/>
    </xf>
    <xf numFmtId="164" fontId="30" fillId="0" borderId="0" xfId="63" applyFont="1" applyFill="1" applyBorder="1" applyAlignment="1">
      <alignment horizontal="right"/>
      <protection/>
    </xf>
    <xf numFmtId="164" fontId="23" fillId="0" borderId="0" xfId="57" applyFont="1" applyFill="1" applyBorder="1" applyAlignment="1" quotePrefix="1">
      <alignment horizontal="right" vertical="center" wrapText="1"/>
      <protection/>
    </xf>
    <xf numFmtId="164" fontId="79" fillId="0" borderId="0" xfId="62" applyFont="1" applyAlignment="1">
      <alignment horizontal="center"/>
      <protection/>
    </xf>
    <xf numFmtId="164" fontId="1" fillId="0" borderId="0" xfId="62" applyFont="1" applyFill="1" applyBorder="1" applyAlignment="1" quotePrefix="1">
      <alignment horizontal="center" vertical="center"/>
      <protection/>
    </xf>
    <xf numFmtId="164" fontId="23" fillId="0" borderId="0" xfId="60" applyFont="1" applyFill="1" applyBorder="1" applyAlignment="1">
      <alignment horizontal="left" vertical="center"/>
      <protection/>
    </xf>
    <xf numFmtId="164" fontId="82" fillId="0" borderId="0" xfId="57" applyFont="1" applyFill="1" applyBorder="1" applyAlignment="1" quotePrefix="1">
      <alignment horizontal="center"/>
      <protection/>
    </xf>
    <xf numFmtId="165" fontId="80" fillId="11" borderId="13" xfId="0" applyNumberFormat="1" applyFont="1" applyFill="1" applyBorder="1" applyAlignment="1">
      <alignment vertical="center"/>
    </xf>
    <xf numFmtId="165" fontId="80" fillId="11" borderId="18" xfId="0" applyNumberFormat="1" applyFont="1" applyFill="1" applyBorder="1" applyAlignment="1" applyProtection="1">
      <alignment vertical="center"/>
      <protection/>
    </xf>
    <xf numFmtId="165" fontId="80" fillId="11" borderId="19" xfId="0" applyNumberFormat="1" applyFont="1" applyFill="1" applyBorder="1" applyAlignment="1" applyProtection="1">
      <alignment vertical="center"/>
      <protection/>
    </xf>
    <xf numFmtId="164" fontId="66" fillId="0" borderId="0" xfId="57" applyFont="1" applyFill="1" applyBorder="1" applyAlignment="1" quotePrefix="1">
      <alignment horizontal="center" vertical="center" wrapText="1"/>
      <protection/>
    </xf>
    <xf numFmtId="164" fontId="20" fillId="0" borderId="0" xfId="57" applyFont="1" applyFill="1" applyBorder="1" applyAlignment="1">
      <alignment vertical="center" wrapText="1"/>
      <protection/>
    </xf>
    <xf numFmtId="164" fontId="23" fillId="0" borderId="0" xfId="57" applyFont="1" applyFill="1" applyBorder="1" applyAlignment="1" quotePrefix="1">
      <alignment horizontal="center" vertical="center" wrapText="1"/>
      <protection/>
    </xf>
    <xf numFmtId="164" fontId="82" fillId="0" borderId="0" xfId="57" applyFont="1" applyFill="1" applyBorder="1" applyAlignment="1">
      <alignment horizontal="center"/>
      <protection/>
    </xf>
    <xf numFmtId="165" fontId="80" fillId="11" borderId="10" xfId="0" applyNumberFormat="1" applyFont="1" applyFill="1" applyBorder="1" applyAlignment="1" applyProtection="1">
      <alignment vertical="center"/>
      <protection/>
    </xf>
    <xf numFmtId="165" fontId="80" fillId="0" borderId="16" xfId="0" applyNumberFormat="1" applyFont="1" applyFill="1" applyBorder="1" applyAlignment="1" applyProtection="1">
      <alignment vertical="center"/>
      <protection/>
    </xf>
    <xf numFmtId="165" fontId="80" fillId="0" borderId="13" xfId="0" applyNumberFormat="1" applyFont="1" applyFill="1" applyBorder="1" applyAlignment="1" applyProtection="1">
      <alignment vertical="center"/>
      <protection/>
    </xf>
    <xf numFmtId="164" fontId="82" fillId="0" borderId="0" xfId="0" applyFont="1" applyFill="1" applyBorder="1" applyAlignment="1">
      <alignment horizontal="center"/>
    </xf>
    <xf numFmtId="165" fontId="80" fillId="0" borderId="11" xfId="0" applyNumberFormat="1" applyFont="1" applyFill="1" applyBorder="1" applyAlignment="1" applyProtection="1">
      <alignment vertical="center"/>
      <protection/>
    </xf>
    <xf numFmtId="165" fontId="80" fillId="0" borderId="12" xfId="0" applyNumberFormat="1" applyFont="1" applyFill="1" applyBorder="1" applyAlignment="1">
      <alignment vertical="center"/>
    </xf>
    <xf numFmtId="165" fontId="80" fillId="0" borderId="14" xfId="0" applyNumberFormat="1" applyFont="1" applyFill="1" applyBorder="1" applyAlignment="1">
      <alignment vertical="center"/>
    </xf>
    <xf numFmtId="165" fontId="80" fillId="11" borderId="25" xfId="0" applyNumberFormat="1" applyFont="1" applyFill="1" applyBorder="1" applyAlignment="1" applyProtection="1">
      <alignment vertical="center"/>
      <protection/>
    </xf>
    <xf numFmtId="165" fontId="80" fillId="11" borderId="20" xfId="0" applyNumberFormat="1" applyFont="1" applyFill="1" applyBorder="1" applyAlignment="1" applyProtection="1">
      <alignment vertical="center"/>
      <protection/>
    </xf>
    <xf numFmtId="165" fontId="80" fillId="0" borderId="18" xfId="0" applyNumberFormat="1" applyFont="1" applyFill="1" applyBorder="1" applyAlignment="1" applyProtection="1">
      <alignment vertical="center"/>
      <protection/>
    </xf>
    <xf numFmtId="165" fontId="80" fillId="0" borderId="21" xfId="0" applyNumberFormat="1" applyFont="1" applyFill="1" applyBorder="1" applyAlignment="1" applyProtection="1">
      <alignment vertical="center"/>
      <protection/>
    </xf>
    <xf numFmtId="165" fontId="80" fillId="0" borderId="19" xfId="0" applyNumberFormat="1" applyFont="1" applyFill="1" applyBorder="1" applyAlignment="1" applyProtection="1">
      <alignment vertical="center"/>
      <protection/>
    </xf>
    <xf numFmtId="165" fontId="80" fillId="0" borderId="22" xfId="0" applyNumberFormat="1" applyFont="1" applyFill="1" applyBorder="1" applyAlignment="1" applyProtection="1">
      <alignment vertical="center"/>
      <protection/>
    </xf>
    <xf numFmtId="165" fontId="80" fillId="11" borderId="15" xfId="0" applyNumberFormat="1" applyFont="1" applyFill="1" applyBorder="1" applyAlignment="1" applyProtection="1">
      <alignment vertical="center"/>
      <protection/>
    </xf>
    <xf numFmtId="165" fontId="80" fillId="11" borderId="24" xfId="0" applyNumberFormat="1" applyFont="1" applyFill="1" applyBorder="1" applyAlignment="1">
      <alignment vertical="center"/>
    </xf>
    <xf numFmtId="165" fontId="80" fillId="0" borderId="24" xfId="0" applyNumberFormat="1" applyFont="1" applyFill="1" applyBorder="1" applyAlignment="1">
      <alignment vertical="center"/>
    </xf>
    <xf numFmtId="164" fontId="83" fillId="0" borderId="0" xfId="0" applyFont="1" applyAlignment="1" quotePrefix="1">
      <alignment horizontal="center" vertical="center"/>
    </xf>
    <xf numFmtId="164" fontId="82" fillId="0" borderId="0" xfId="0" applyFont="1" applyFill="1" applyBorder="1" applyAlignment="1">
      <alignment horizontal="center" vertical="center"/>
    </xf>
    <xf numFmtId="164" fontId="80" fillId="0" borderId="0" xfId="0" applyFont="1" applyFill="1" applyBorder="1" applyAlignment="1">
      <alignment horizontal="center"/>
    </xf>
    <xf numFmtId="164" fontId="27" fillId="0" borderId="0" xfId="57" applyFont="1" applyFill="1" applyBorder="1" applyAlignment="1">
      <alignment horizontal="left" indent="3"/>
      <protection/>
    </xf>
    <xf numFmtId="167" fontId="1" fillId="23" borderId="23" xfId="57" applyNumberFormat="1" applyFont="1" applyFill="1" applyBorder="1" applyAlignment="1">
      <alignment vertical="center"/>
      <protection/>
    </xf>
    <xf numFmtId="164" fontId="21" fillId="0" borderId="0" xfId="57" applyFont="1" applyFill="1" applyBorder="1" applyAlignment="1">
      <alignment horizontal="center" vertical="center"/>
      <protection/>
    </xf>
    <xf numFmtId="164" fontId="33" fillId="0" borderId="0" xfId="60" applyFont="1" applyAlignment="1" quotePrefix="1">
      <alignment horizontal="left" vertical="center"/>
      <protection/>
    </xf>
    <xf numFmtId="164" fontId="84" fillId="0" borderId="0" xfId="57" applyFont="1" applyFill="1" applyBorder="1" applyAlignment="1">
      <alignment horizontal="center" vertical="center"/>
      <protection/>
    </xf>
    <xf numFmtId="165" fontId="80" fillId="11" borderId="16" xfId="0" applyNumberFormat="1" applyFont="1" applyFill="1" applyBorder="1" applyAlignment="1" applyProtection="1">
      <alignment vertical="center"/>
      <protection/>
    </xf>
    <xf numFmtId="164" fontId="23" fillId="0" borderId="0" xfId="60" applyFont="1" applyFill="1" applyBorder="1" applyAlignment="1" quotePrefix="1">
      <alignment horizontal="left" vertical="center"/>
      <protection/>
    </xf>
    <xf numFmtId="164" fontId="20" fillId="0" borderId="0" xfId="60" applyFont="1" applyFill="1" applyBorder="1" applyAlignment="1">
      <alignment horizontal="left" vertical="center"/>
      <protection/>
    </xf>
    <xf numFmtId="165" fontId="80" fillId="11" borderId="11" xfId="0" applyNumberFormat="1" applyFont="1" applyFill="1" applyBorder="1" applyAlignment="1" applyProtection="1">
      <alignment vertical="center"/>
      <protection/>
    </xf>
    <xf numFmtId="167" fontId="23" fillId="11" borderId="24" xfId="0" applyNumberFormat="1" applyFont="1" applyFill="1" applyBorder="1" applyAlignment="1">
      <alignment vertical="center"/>
    </xf>
    <xf numFmtId="164" fontId="0" fillId="0" borderId="0" xfId="0" applyBorder="1" applyAlignment="1">
      <alignment/>
    </xf>
    <xf numFmtId="167" fontId="1" fillId="21" borderId="13" xfId="0" applyNumberFormat="1" applyFont="1" applyFill="1" applyBorder="1" applyAlignment="1">
      <alignment vertical="center"/>
    </xf>
    <xf numFmtId="167" fontId="1" fillId="0" borderId="13" xfId="0" applyNumberFormat="1" applyFont="1" applyFill="1" applyBorder="1" applyAlignment="1" applyProtection="1">
      <alignment vertical="center"/>
      <protection/>
    </xf>
    <xf numFmtId="165" fontId="56" fillId="22" borderId="20" xfId="0" applyNumberFormat="1" applyFont="1" applyFill="1" applyBorder="1" applyAlignment="1" applyProtection="1">
      <alignment vertical="center"/>
      <protection/>
    </xf>
    <xf numFmtId="164" fontId="0" fillId="0" borderId="0" xfId="0" applyAlignment="1">
      <alignment horizontal="left" vertical="center"/>
    </xf>
    <xf numFmtId="164" fontId="0" fillId="0" borderId="0" xfId="0" applyBorder="1" applyAlignment="1">
      <alignment/>
    </xf>
    <xf numFmtId="164" fontId="23" fillId="0" borderId="0" xfId="60" applyFont="1" applyFill="1" applyBorder="1" applyAlignment="1">
      <alignment horizontal="left" vertical="distributed" indent="1"/>
      <protection/>
    </xf>
    <xf numFmtId="165" fontId="56" fillId="0" borderId="24" xfId="0" applyNumberFormat="1" applyFont="1" applyFill="1" applyBorder="1" applyAlignment="1">
      <alignment vertical="center"/>
    </xf>
    <xf numFmtId="164" fontId="23" fillId="0" borderId="0" xfId="59" applyFont="1" applyFill="1" applyBorder="1" applyAlignment="1">
      <alignment horizontal="center" vertical="center"/>
      <protection/>
    </xf>
    <xf numFmtId="11" fontId="1" fillId="0" borderId="11" xfId="0" applyNumberFormat="1" applyFont="1" applyFill="1" applyBorder="1" applyAlignment="1" applyProtection="1">
      <alignment vertical="center"/>
      <protection/>
    </xf>
    <xf numFmtId="11" fontId="23" fillId="0" borderId="16" xfId="0" applyNumberFormat="1" applyFont="1" applyFill="1" applyBorder="1" applyAlignment="1" applyProtection="1">
      <alignment vertical="center"/>
      <protection/>
    </xf>
    <xf numFmtId="165" fontId="1" fillId="19" borderId="13" xfId="0" applyNumberFormat="1" applyFont="1" applyFill="1" applyBorder="1" applyAlignment="1">
      <alignment vertical="center"/>
    </xf>
    <xf numFmtId="167" fontId="1" fillId="0" borderId="0" xfId="57" applyNumberFormat="1" applyFont="1" applyFill="1" applyBorder="1" applyAlignment="1" applyProtection="1" quotePrefix="1">
      <alignment horizontal="right" vertical="center"/>
      <protection/>
    </xf>
    <xf numFmtId="165" fontId="80" fillId="11" borderId="17" xfId="0" applyNumberFormat="1" applyFont="1" applyFill="1" applyBorder="1" applyAlignment="1" applyProtection="1">
      <alignment/>
      <protection/>
    </xf>
    <xf numFmtId="205" fontId="25" fillId="11" borderId="13" xfId="44" applyNumberFormat="1" applyFont="1" applyFill="1" applyBorder="1" applyAlignment="1" applyProtection="1">
      <alignment vertical="center"/>
      <protection/>
    </xf>
    <xf numFmtId="165" fontId="1" fillId="8" borderId="13" xfId="0" applyNumberFormat="1" applyFont="1" applyFill="1" applyBorder="1" applyAlignment="1">
      <alignment vertical="center"/>
    </xf>
    <xf numFmtId="164" fontId="23" fillId="0" borderId="0" xfId="60" applyFont="1" applyFill="1" applyBorder="1" applyAlignment="1">
      <alignment horizontal="right" vertical="center"/>
      <protection/>
    </xf>
    <xf numFmtId="164" fontId="20" fillId="0" borderId="0" xfId="0" applyFont="1" applyFill="1" applyBorder="1" applyAlignment="1">
      <alignment horizontal="left" vertical="center" indent="3"/>
    </xf>
    <xf numFmtId="164" fontId="27" fillId="0" borderId="0" xfId="57" applyFont="1" applyFill="1" applyBorder="1" applyAlignment="1">
      <alignment horizontal="right"/>
      <protection/>
    </xf>
    <xf numFmtId="164" fontId="85" fillId="0" borderId="0" xfId="0" applyFont="1" applyAlignment="1">
      <alignment vertical="center"/>
    </xf>
    <xf numFmtId="164" fontId="85" fillId="0" borderId="0" xfId="0" applyFont="1" applyAlignment="1">
      <alignment/>
    </xf>
    <xf numFmtId="165" fontId="23" fillId="11" borderId="24" xfId="0" applyNumberFormat="1" applyFont="1" applyFill="1" applyBorder="1" applyAlignment="1">
      <alignment vertical="center"/>
    </xf>
    <xf numFmtId="167" fontId="23" fillId="0" borderId="23" xfId="57" applyNumberFormat="1" applyFont="1" applyFill="1" applyBorder="1" applyAlignment="1">
      <alignment vertical="center"/>
      <protection/>
    </xf>
    <xf numFmtId="165" fontId="23" fillId="11" borderId="13" xfId="0" applyNumberFormat="1" applyFont="1" applyFill="1" applyBorder="1" applyAlignment="1">
      <alignment vertical="center"/>
    </xf>
    <xf numFmtId="165" fontId="23" fillId="11" borderId="11" xfId="0" applyNumberFormat="1" applyFont="1" applyFill="1" applyBorder="1" applyAlignment="1" applyProtection="1">
      <alignment vertical="center"/>
      <protection/>
    </xf>
    <xf numFmtId="167" fontId="56" fillId="11" borderId="10" xfId="0" applyNumberFormat="1" applyFont="1" applyFill="1" applyBorder="1" applyAlignment="1" applyProtection="1">
      <alignment vertical="center"/>
      <protection/>
    </xf>
    <xf numFmtId="165" fontId="68" fillId="0" borderId="0" xfId="0" applyNumberFormat="1" applyFont="1" applyFill="1" applyBorder="1" applyAlignment="1">
      <alignment vertical="center"/>
    </xf>
    <xf numFmtId="165" fontId="68" fillId="0" borderId="0" xfId="0" applyNumberFormat="1" applyFont="1" applyFill="1" applyBorder="1" applyAlignment="1" applyProtection="1">
      <alignment vertical="center"/>
      <protection/>
    </xf>
    <xf numFmtId="167" fontId="68" fillId="0" borderId="0" xfId="57" applyNumberFormat="1" applyFont="1" applyFill="1" applyBorder="1" applyAlignment="1" applyProtection="1">
      <alignment vertical="center"/>
      <protection/>
    </xf>
    <xf numFmtId="169" fontId="68" fillId="0" borderId="0" xfId="57" applyNumberFormat="1" applyFont="1" applyFill="1" applyBorder="1" applyAlignment="1" applyProtection="1">
      <alignment vertical="center"/>
      <protection/>
    </xf>
    <xf numFmtId="167" fontId="68" fillId="0" borderId="0" xfId="0" applyNumberFormat="1" applyFont="1" applyFill="1" applyBorder="1" applyAlignment="1" applyProtection="1">
      <alignment vertical="center"/>
      <protection/>
    </xf>
    <xf numFmtId="169" fontId="68" fillId="0" borderId="0" xfId="0" applyNumberFormat="1" applyFont="1" applyFill="1" applyBorder="1" applyAlignment="1" applyProtection="1">
      <alignment vertical="center"/>
      <protection/>
    </xf>
    <xf numFmtId="164" fontId="86" fillId="0" borderId="0" xfId="62" applyFont="1" applyAlignment="1">
      <alignment horizontal="right"/>
      <protection/>
    </xf>
    <xf numFmtId="164" fontId="87" fillId="0" borderId="0" xfId="62" applyFont="1" applyFill="1" applyBorder="1" applyAlignment="1" quotePrefix="1">
      <alignment horizontal="left" vertical="center"/>
      <protection/>
    </xf>
    <xf numFmtId="164" fontId="89" fillId="0" borderId="0" xfId="62" applyFont="1" applyFill="1" applyBorder="1" applyAlignment="1" quotePrefix="1">
      <alignment horizontal="right"/>
      <protection/>
    </xf>
    <xf numFmtId="164" fontId="91" fillId="0" borderId="0" xfId="62" applyFont="1" applyAlignment="1">
      <alignment horizontal="left"/>
      <protection/>
    </xf>
    <xf numFmtId="164" fontId="90" fillId="0" borderId="0" xfId="62" applyFont="1" applyFill="1" applyBorder="1" applyAlignment="1" quotePrefix="1">
      <alignment horizontal="center" vertical="center"/>
      <protection/>
    </xf>
    <xf numFmtId="164" fontId="90" fillId="0" borderId="0" xfId="0" applyFont="1" applyFill="1" applyBorder="1" applyAlignment="1">
      <alignment horizontal="center"/>
    </xf>
    <xf numFmtId="164" fontId="90" fillId="0" borderId="0" xfId="0" applyFont="1" applyFill="1" applyBorder="1" applyAlignment="1">
      <alignment horizontal="center" vertical="center"/>
    </xf>
    <xf numFmtId="164" fontId="89" fillId="0" borderId="0" xfId="0" applyFont="1" applyFill="1" applyBorder="1" applyAlignment="1">
      <alignment horizontal="center" vertical="center"/>
    </xf>
    <xf numFmtId="165" fontId="68" fillId="0" borderId="0" xfId="0" applyNumberFormat="1" applyFont="1" applyFill="1" applyBorder="1" applyAlignment="1" applyProtection="1">
      <alignment horizontal="left" vertical="center"/>
      <protection/>
    </xf>
    <xf numFmtId="164" fontId="30" fillId="0" borderId="0" xfId="57" applyFont="1" applyFill="1" applyBorder="1" applyAlignment="1">
      <alignment horizontal="right" vertical="center" indent="1"/>
      <protection/>
    </xf>
    <xf numFmtId="167" fontId="23" fillId="11" borderId="10" xfId="0" applyNumberFormat="1" applyFont="1" applyFill="1" applyBorder="1" applyAlignment="1" applyProtection="1">
      <alignment vertical="center"/>
      <protection/>
    </xf>
    <xf numFmtId="165" fontId="30" fillId="19" borderId="23" xfId="57" applyNumberFormat="1" applyFont="1" applyFill="1" applyBorder="1" applyAlignment="1">
      <alignment vertical="center"/>
      <protection/>
    </xf>
    <xf numFmtId="165" fontId="23" fillId="21" borderId="13" xfId="0" applyNumberFormat="1" applyFont="1" applyFill="1" applyBorder="1" applyAlignment="1">
      <alignment vertical="center"/>
    </xf>
    <xf numFmtId="165" fontId="23" fillId="22" borderId="10" xfId="0" applyNumberFormat="1" applyFont="1" applyFill="1" applyBorder="1" applyAlignment="1" applyProtection="1">
      <alignment vertical="center"/>
      <protection/>
    </xf>
    <xf numFmtId="164" fontId="93" fillId="0" borderId="0" xfId="0" applyFont="1" applyFill="1" applyBorder="1" applyAlignment="1">
      <alignment horizontal="center"/>
    </xf>
    <xf numFmtId="165" fontId="30" fillId="0" borderId="13" xfId="0" applyNumberFormat="1" applyFont="1" applyFill="1" applyBorder="1" applyAlignment="1">
      <alignment vertical="center"/>
    </xf>
    <xf numFmtId="165" fontId="23" fillId="22" borderId="13" xfId="0" applyNumberFormat="1" applyFont="1" applyFill="1" applyBorder="1" applyAlignment="1">
      <alignment vertical="center"/>
    </xf>
    <xf numFmtId="165" fontId="33" fillId="22" borderId="18" xfId="0" applyNumberFormat="1" applyFont="1" applyFill="1" applyBorder="1" applyAlignment="1" applyProtection="1">
      <alignment vertical="center"/>
      <protection/>
    </xf>
    <xf numFmtId="165" fontId="33" fillId="22" borderId="19" xfId="0" applyNumberFormat="1" applyFont="1" applyFill="1" applyBorder="1" applyAlignment="1" applyProtection="1">
      <alignment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T" xfId="57"/>
    <cellStyle name="Normal_1 DT_1" xfId="58"/>
    <cellStyle name="Normal_1 DT_1 DT" xfId="59"/>
    <cellStyle name="Normal_1 DT_1 DT_1 DT" xfId="60"/>
    <cellStyle name="Normal_1 DT_1 DT_2" xfId="61"/>
    <cellStyle name="Normal_1 DT_2" xfId="62"/>
    <cellStyle name="Normal_1 DT_3" xfId="63"/>
    <cellStyle name="Normal_Init" xfId="64"/>
    <cellStyle name="Normal_X3X3" xfId="65"/>
    <cellStyle name="Note" xfId="66"/>
    <cellStyle name="Output" xfId="67"/>
    <cellStyle name="Percent" xfId="68"/>
    <cellStyle name="Title" xfId="69"/>
    <cellStyle name="Total" xfId="70"/>
    <cellStyle name="Warning Text"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3E3E3"/>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0035"/>
          <c:w val="0.80525"/>
          <c:h val="0.9415"/>
        </c:manualLayout>
      </c:layout>
      <c:lineChart>
        <c:grouping val="standard"/>
        <c:varyColors val="0"/>
        <c:ser>
          <c:idx val="4"/>
          <c:order val="0"/>
          <c:tx>
            <c:strRef>
              <c:f>Series!$L$7</c:f>
              <c:strCache>
                <c:ptCount val="1"/>
                <c:pt idx="0">
                  <c:v>VMPL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Series!$L$8:$L$38</c:f>
              <c:numCache>
                <c:ptCount val="31"/>
                <c:pt idx="0">
                  <c:v>117.19786133926146</c:v>
                </c:pt>
                <c:pt idx="1">
                  <c:v>127.1156344390177</c:v>
                </c:pt>
                <c:pt idx="2">
                  <c:v>127.37146944841254</c:v>
                </c:pt>
                <c:pt idx="3">
                  <c:v>117.7001689064165</c:v>
                </c:pt>
                <c:pt idx="4">
                  <c:v>110.70155299975663</c:v>
                </c:pt>
                <c:pt idx="5">
                  <c:v>107.5144929791596</c:v>
                </c:pt>
                <c:pt idx="6">
                  <c:v>106.28709834463355</c:v>
                </c:pt>
                <c:pt idx="7">
                  <c:v>105.73675806856704</c:v>
                </c:pt>
                <c:pt idx="8">
                  <c:v>105.38963725067268</c:v>
                </c:pt>
                <c:pt idx="9">
                  <c:v>105.14981103281775</c:v>
                </c:pt>
                <c:pt idx="10">
                  <c:v>105.00051181023915</c:v>
                </c:pt>
                <c:pt idx="11">
                  <c:v>104.91787240500123</c:v>
                </c:pt>
                <c:pt idx="12">
                  <c:v>104.87456204456738</c:v>
                </c:pt>
                <c:pt idx="13">
                  <c:v>104.85132737613502</c:v>
                </c:pt>
                <c:pt idx="14">
                  <c:v>104.83811927601002</c:v>
                </c:pt>
                <c:pt idx="15">
                  <c:v>104.83037241331392</c:v>
                </c:pt>
                <c:pt idx="16">
                  <c:v>104.8258704163629</c:v>
                </c:pt>
                <c:pt idx="17">
                  <c:v>104.82331817289965</c:v>
                </c:pt>
                <c:pt idx="18">
                  <c:v>104.82189357035365</c:v>
                </c:pt>
                <c:pt idx="19">
                  <c:v>104.82109713776441</c:v>
                </c:pt>
                <c:pt idx="20">
                  <c:v>104.82064704128423</c:v>
                </c:pt>
                <c:pt idx="21">
                  <c:v>104.82039063248261</c:v>
                </c:pt>
                <c:pt idx="22">
                  <c:v>104.82024454560809</c:v>
                </c:pt>
                <c:pt idx="23">
                  <c:v>104.82016169505845</c:v>
                </c:pt>
                <c:pt idx="24">
                  <c:v>104.82011488970922</c:v>
                </c:pt>
                <c:pt idx="25">
                  <c:v>104.8200884610576</c:v>
                </c:pt>
                <c:pt idx="26">
                  <c:v>104.82007350984216</c:v>
                </c:pt>
                <c:pt idx="27">
                  <c:v>104.82006503579183</c:v>
                </c:pt>
                <c:pt idx="28">
                  <c:v>104.82006023083308</c:v>
                </c:pt>
                <c:pt idx="29">
                  <c:v>104.82005750838897</c:v>
                </c:pt>
                <c:pt idx="30">
                  <c:v>104.82005635086766</c:v>
                </c:pt>
              </c:numCache>
            </c:numRef>
          </c:val>
          <c:smooth val="1"/>
        </c:ser>
        <c:ser>
          <c:idx val="2"/>
          <c:order val="1"/>
          <c:tx>
            <c:strRef>
              <c:f>Series!$K$7</c:f>
              <c:strCache>
                <c:ptCount val="1"/>
                <c:pt idx="0">
                  <c:v>VMP1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Series!$K$8:$K$38</c:f>
              <c:numCache>
                <c:ptCount val="31"/>
                <c:pt idx="0">
                  <c:v>117.19786133926152</c:v>
                </c:pt>
                <c:pt idx="1">
                  <c:v>102.11876053989926</c:v>
                </c:pt>
                <c:pt idx="2">
                  <c:v>102.84598932755061</c:v>
                </c:pt>
                <c:pt idx="3">
                  <c:v>103.97365303033672</c:v>
                </c:pt>
                <c:pt idx="4">
                  <c:v>104.46534761500338</c:v>
                </c:pt>
                <c:pt idx="5">
                  <c:v>104.62971158569566</c:v>
                </c:pt>
                <c:pt idx="6">
                  <c:v>104.69373922946171</c:v>
                </c:pt>
                <c:pt idx="7">
                  <c:v>104.7385829584139</c:v>
                </c:pt>
                <c:pt idx="8">
                  <c:v>104.77293338945344</c:v>
                </c:pt>
                <c:pt idx="9">
                  <c:v>104.79478328508016</c:v>
                </c:pt>
                <c:pt idx="10">
                  <c:v>104.80658036605146</c:v>
                </c:pt>
                <c:pt idx="11">
                  <c:v>104.81254410988778</c:v>
                </c:pt>
                <c:pt idx="12">
                  <c:v>104.81569747102546</c:v>
                </c:pt>
                <c:pt idx="13">
                  <c:v>104.81751515570772</c:v>
                </c:pt>
                <c:pt idx="14">
                  <c:v>104.81860223995939</c:v>
                </c:pt>
                <c:pt idx="15">
                  <c:v>104.819238917521</c:v>
                </c:pt>
                <c:pt idx="16">
                  <c:v>104.81959838131584</c:v>
                </c:pt>
                <c:pt idx="17">
                  <c:v>104.81979742979699</c:v>
                </c:pt>
                <c:pt idx="18">
                  <c:v>104.81990823787284</c:v>
                </c:pt>
                <c:pt idx="19">
                  <c:v>104.81997094933531</c:v>
                </c:pt>
                <c:pt idx="20">
                  <c:v>104.82000680787549</c:v>
                </c:pt>
                <c:pt idx="21">
                  <c:v>104.82002728337736</c:v>
                </c:pt>
                <c:pt idx="22">
                  <c:v>104.8200388917955</c:v>
                </c:pt>
                <c:pt idx="23">
                  <c:v>104.8200454394231</c:v>
                </c:pt>
                <c:pt idx="24">
                  <c:v>104.82004913239379</c:v>
                </c:pt>
                <c:pt idx="25">
                  <c:v>104.82005122161777</c:v>
                </c:pt>
                <c:pt idx="26">
                  <c:v>104.82005240656015</c:v>
                </c:pt>
                <c:pt idx="27">
                  <c:v>104.82005307881934</c:v>
                </c:pt>
                <c:pt idx="28">
                  <c:v>104.82005345973533</c:v>
                </c:pt>
                <c:pt idx="29">
                  <c:v>104.82005367530789</c:v>
                </c:pt>
                <c:pt idx="30">
                  <c:v>104.82005376691436</c:v>
                </c:pt>
              </c:numCache>
            </c:numRef>
          </c:val>
          <c:smooth val="1"/>
        </c:ser>
        <c:ser>
          <c:idx val="3"/>
          <c:order val="2"/>
          <c:tx>
            <c:strRef>
              <c:f>Series!$J$7</c:f>
              <c:strCache>
                <c:ptCount val="1"/>
                <c:pt idx="0">
                  <c:v>MC1</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Series!$J$8:$J$38</c:f>
              <c:numCache>
                <c:ptCount val="31"/>
                <c:pt idx="0">
                  <c:v>114.89986405809952</c:v>
                </c:pt>
                <c:pt idx="1">
                  <c:v>100.93190675544149</c:v>
                </c:pt>
                <c:pt idx="2">
                  <c:v>102.2468799974169</c:v>
                </c:pt>
                <c:pt idx="3">
                  <c:v>103.65278372593215</c:v>
                </c:pt>
                <c:pt idx="4">
                  <c:v>104.26306408378204</c:v>
                </c:pt>
                <c:pt idx="5">
                  <c:v>104.49755150379717</c:v>
                </c:pt>
                <c:pt idx="6">
                  <c:v>104.61318679011748</c:v>
                </c:pt>
                <c:pt idx="7">
                  <c:v>104.69314700516685</c:v>
                </c:pt>
                <c:pt idx="8">
                  <c:v>104.74821375451769</c:v>
                </c:pt>
                <c:pt idx="9">
                  <c:v>104.78117739289355</c:v>
                </c:pt>
                <c:pt idx="10">
                  <c:v>104.79885472714096</c:v>
                </c:pt>
                <c:pt idx="11">
                  <c:v>104.80808149698302</c:v>
                </c:pt>
                <c:pt idx="12">
                  <c:v>104.81313239609152</c:v>
                </c:pt>
                <c:pt idx="13">
                  <c:v>104.81606130616137</c:v>
                </c:pt>
                <c:pt idx="14">
                  <c:v>104.81778554744155</c:v>
                </c:pt>
                <c:pt idx="15">
                  <c:v>104.81877978238829</c:v>
                </c:pt>
                <c:pt idx="16">
                  <c:v>104.81933869794334</c:v>
                </c:pt>
                <c:pt idx="17">
                  <c:v>104.81964989009026</c:v>
                </c:pt>
                <c:pt idx="18">
                  <c:v>104.81982440184454</c:v>
                </c:pt>
                <c:pt idx="19">
                  <c:v>104.81992343303428</c:v>
                </c:pt>
                <c:pt idx="20">
                  <c:v>104.81997993584065</c:v>
                </c:pt>
                <c:pt idx="21">
                  <c:v>104.82001209105934</c:v>
                </c:pt>
                <c:pt idx="22">
                  <c:v>104.8200302936632</c:v>
                </c:pt>
                <c:pt idx="23">
                  <c:v>104.82004056814505</c:v>
                </c:pt>
                <c:pt idx="24">
                  <c:v>104.82004637187819</c:v>
                </c:pt>
                <c:pt idx="25">
                  <c:v>104.82004965791151</c:v>
                </c:pt>
                <c:pt idx="26">
                  <c:v>104.82005152123119</c:v>
                </c:pt>
                <c:pt idx="27">
                  <c:v>104.820052577651</c:v>
                </c:pt>
                <c:pt idx="28">
                  <c:v>104.8200531759878</c:v>
                </c:pt>
                <c:pt idx="29">
                  <c:v>104.82005351462108</c:v>
                </c:pt>
                <c:pt idx="30">
                  <c:v>104.82005365855804</c:v>
                </c:pt>
              </c:numCache>
            </c:numRef>
          </c:val>
          <c:smooth val="1"/>
        </c:ser>
        <c:ser>
          <c:idx val="1"/>
          <c:order val="3"/>
          <c:tx>
            <c:strRef>
              <c:f>Series!$I$7</c:f>
              <c:strCache>
                <c:ptCount val="1"/>
                <c:pt idx="0">
                  <c:v>P1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Series!$I$8:$I$38</c:f>
              <c:numCache>
                <c:ptCount val="31"/>
                <c:pt idx="0">
                  <c:v>116.23800728319155</c:v>
                </c:pt>
                <c:pt idx="1">
                  <c:v>101.33570247105229</c:v>
                </c:pt>
                <c:pt idx="2">
                  <c:v>102.4177887357504</c:v>
                </c:pt>
                <c:pt idx="3">
                  <c:v>103.74132938767828</c:v>
                </c:pt>
                <c:pt idx="4">
                  <c:v>104.32226208407978</c:v>
                </c:pt>
                <c:pt idx="5">
                  <c:v>104.53761198315217</c:v>
                </c:pt>
                <c:pt idx="6">
                  <c:v>104.6373419108229</c:v>
                </c:pt>
                <c:pt idx="7">
                  <c:v>104.70635665189195</c:v>
                </c:pt>
                <c:pt idx="8">
                  <c:v>104.75522361357491</c:v>
                </c:pt>
                <c:pt idx="9">
                  <c:v>104.78502168476771</c:v>
                </c:pt>
                <c:pt idx="10">
                  <c:v>104.80106343949895</c:v>
                </c:pt>
                <c:pt idx="11">
                  <c:v>104.80937110354829</c:v>
                </c:pt>
                <c:pt idx="12">
                  <c:v>104.81387486454274</c:v>
                </c:pt>
                <c:pt idx="13">
                  <c:v>104.81648006645078</c:v>
                </c:pt>
                <c:pt idx="14">
                  <c:v>104.81801956409431</c:v>
                </c:pt>
                <c:pt idx="15">
                  <c:v>104.81891115398508</c:v>
                </c:pt>
                <c:pt idx="16">
                  <c:v>104.81941314444457</c:v>
                </c:pt>
                <c:pt idx="17">
                  <c:v>104.81969229035651</c:v>
                </c:pt>
                <c:pt idx="18">
                  <c:v>104.81984851563735</c:v>
                </c:pt>
                <c:pt idx="19">
                  <c:v>104.81993709030186</c:v>
                </c:pt>
                <c:pt idx="20">
                  <c:v>104.81998765087886</c:v>
                </c:pt>
                <c:pt idx="21">
                  <c:v>104.82001645064918</c:v>
                </c:pt>
                <c:pt idx="22">
                  <c:v>104.82003276160488</c:v>
                </c:pt>
                <c:pt idx="23">
                  <c:v>104.82004196706372</c:v>
                </c:pt>
                <c:pt idx="24">
                  <c:v>104.82004716484674</c:v>
                </c:pt>
                <c:pt idx="25">
                  <c:v>104.82005010705747</c:v>
                </c:pt>
                <c:pt idx="26">
                  <c:v>104.82005177546911</c:v>
                </c:pt>
                <c:pt idx="27">
                  <c:v>104.8200527215504</c:v>
                </c:pt>
                <c:pt idx="28">
                  <c:v>104.82005325746094</c:v>
                </c:pt>
                <c:pt idx="29">
                  <c:v>104.82005356076397</c:v>
                </c:pt>
                <c:pt idx="30">
                  <c:v>104.82005368967542</c:v>
                </c:pt>
              </c:numCache>
            </c:numRef>
          </c:val>
          <c:smooth val="1"/>
        </c:ser>
        <c:ser>
          <c:idx val="0"/>
          <c:order val="4"/>
          <c:tx>
            <c:strRef>
              <c:f>Series!$M$7</c:f>
              <c:strCache>
                <c:ptCount val="1"/>
                <c:pt idx="0">
                  <c:v>P*</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Series!$M$8:$M$38</c:f>
              <c:numCache>
                <c:ptCount val="31"/>
                <c:pt idx="0">
                  <c:v>98.21428571428571</c:v>
                </c:pt>
                <c:pt idx="1">
                  <c:v>98.21428571428571</c:v>
                </c:pt>
                <c:pt idx="2">
                  <c:v>98.21428571428571</c:v>
                </c:pt>
                <c:pt idx="3">
                  <c:v>98.21428571428571</c:v>
                </c:pt>
                <c:pt idx="4">
                  <c:v>98.21428571428571</c:v>
                </c:pt>
                <c:pt idx="5">
                  <c:v>98.21428571428571</c:v>
                </c:pt>
                <c:pt idx="6">
                  <c:v>98.21428571428571</c:v>
                </c:pt>
                <c:pt idx="7">
                  <c:v>98.21428571428571</c:v>
                </c:pt>
                <c:pt idx="8">
                  <c:v>98.21428571428571</c:v>
                </c:pt>
                <c:pt idx="9">
                  <c:v>98.21428571428571</c:v>
                </c:pt>
                <c:pt idx="10">
                  <c:v>98.21428571428571</c:v>
                </c:pt>
                <c:pt idx="11">
                  <c:v>98.21428571428571</c:v>
                </c:pt>
                <c:pt idx="12">
                  <c:v>98.21428571428571</c:v>
                </c:pt>
                <c:pt idx="13">
                  <c:v>98.21428571428571</c:v>
                </c:pt>
                <c:pt idx="14">
                  <c:v>98.21428571428571</c:v>
                </c:pt>
                <c:pt idx="15">
                  <c:v>98.21428571428571</c:v>
                </c:pt>
                <c:pt idx="16">
                  <c:v>98.21428571428571</c:v>
                </c:pt>
                <c:pt idx="17">
                  <c:v>98.21428571428571</c:v>
                </c:pt>
                <c:pt idx="18">
                  <c:v>98.21428571428571</c:v>
                </c:pt>
                <c:pt idx="19">
                  <c:v>98.21428571428571</c:v>
                </c:pt>
                <c:pt idx="20">
                  <c:v>98.21428571428571</c:v>
                </c:pt>
                <c:pt idx="21">
                  <c:v>98.21428571428571</c:v>
                </c:pt>
                <c:pt idx="22">
                  <c:v>98.21428571428571</c:v>
                </c:pt>
                <c:pt idx="23">
                  <c:v>98.21428571428571</c:v>
                </c:pt>
                <c:pt idx="24">
                  <c:v>98.21428571428571</c:v>
                </c:pt>
                <c:pt idx="25">
                  <c:v>98.21428571428571</c:v>
                </c:pt>
                <c:pt idx="26">
                  <c:v>98.21428571428571</c:v>
                </c:pt>
                <c:pt idx="27">
                  <c:v>98.21428571428571</c:v>
                </c:pt>
                <c:pt idx="28">
                  <c:v>98.21428571428571</c:v>
                </c:pt>
                <c:pt idx="29">
                  <c:v>98.21428571428571</c:v>
                </c:pt>
                <c:pt idx="30">
                  <c:v>98.21428571428571</c:v>
                </c:pt>
              </c:numCache>
            </c:numRef>
          </c:val>
          <c:smooth val="0"/>
        </c:ser>
        <c:axId val="58311334"/>
        <c:axId val="55039959"/>
      </c:lineChart>
      <c:catAx>
        <c:axId val="58311334"/>
        <c:scaling>
          <c:orientation val="minMax"/>
        </c:scaling>
        <c:axPos val="b"/>
        <c:title>
          <c:tx>
            <c:rich>
              <a:bodyPr vert="horz" rot="0" anchor="ctr"/>
              <a:lstStyle/>
              <a:p>
                <a:pPr algn="ctr">
                  <a:defRPr/>
                </a:pPr>
                <a:r>
                  <a:rPr lang="en-US" cap="none" sz="800" b="1" i="0" u="none" baseline="0"/>
                  <a:t>year</a:t>
                </a:r>
              </a:p>
            </c:rich>
          </c:tx>
          <c:layout>
            <c:manualLayout>
              <c:xMode val="factor"/>
              <c:yMode val="factor"/>
              <c:x val="0.00875"/>
              <c:y val="0.104"/>
            </c:manualLayout>
          </c:layout>
          <c:overlay val="0"/>
          <c:spPr>
            <a:noFill/>
            <a:ln>
              <a:noFill/>
            </a:ln>
          </c:spPr>
        </c:title>
        <c:delete val="0"/>
        <c:numFmt formatCode="0" sourceLinked="0"/>
        <c:majorTickMark val="out"/>
        <c:minorTickMark val="out"/>
        <c:tickLblPos val="nextTo"/>
        <c:txPr>
          <a:bodyPr vert="horz" rot="0"/>
          <a:lstStyle/>
          <a:p>
            <a:pPr>
              <a:defRPr lang="en-US" cap="none" sz="800" b="1" i="0" u="none" baseline="0"/>
            </a:pPr>
          </a:p>
        </c:txPr>
        <c:crossAx val="55039959"/>
        <c:crossesAt val="85"/>
        <c:auto val="0"/>
        <c:lblOffset val="100"/>
        <c:tickLblSkip val="5"/>
        <c:tickMarkSkip val="5"/>
        <c:noMultiLvlLbl val="0"/>
      </c:catAx>
      <c:valAx>
        <c:axId val="55039959"/>
        <c:scaling>
          <c:orientation val="minMax"/>
          <c:max val="125"/>
          <c:min val="85"/>
        </c:scaling>
        <c:axPos val="l"/>
        <c:title>
          <c:tx>
            <c:rich>
              <a:bodyPr vert="horz" rot="-5400000" anchor="ctr"/>
              <a:lstStyle/>
              <a:p>
                <a:pPr algn="ctr">
                  <a:defRPr/>
                </a:pPr>
                <a:r>
                  <a:rPr lang="en-US" cap="none" sz="800" b="1" i="0" u="none" baseline="0"/>
                  <a:t>marginal values of Good #1</a:t>
                </a:r>
              </a:p>
            </c:rich>
          </c:tx>
          <c:layout>
            <c:manualLayout>
              <c:xMode val="factor"/>
              <c:yMode val="factor"/>
              <c:x val="-0.002"/>
              <c:y val="0.0095"/>
            </c:manualLayout>
          </c:layout>
          <c:overlay val="0"/>
          <c:spPr>
            <a:noFill/>
            <a:ln>
              <a:noFill/>
            </a:ln>
          </c:spPr>
        </c:title>
        <c:delete val="0"/>
        <c:numFmt formatCode="0" sourceLinked="0"/>
        <c:majorTickMark val="out"/>
        <c:minorTickMark val="out"/>
        <c:tickLblPos val="nextTo"/>
        <c:txPr>
          <a:bodyPr/>
          <a:lstStyle/>
          <a:p>
            <a:pPr>
              <a:defRPr lang="en-US" cap="none" sz="800" b="1" i="0" u="none" baseline="0"/>
            </a:pPr>
          </a:p>
        </c:txPr>
        <c:crossAx val="58311334"/>
        <c:crossesAt val="1"/>
        <c:crossBetween val="midCat"/>
        <c:dispUnits/>
        <c:majorUnit val="5"/>
        <c:minorUnit val="2.5"/>
      </c:valAx>
      <c:spPr>
        <a:pattFill prst="dotGrid">
          <a:fgClr>
            <a:srgbClr val="333333"/>
          </a:fgClr>
          <a:bgClr>
            <a:srgbClr val="C0C0C0"/>
          </a:bgClr>
        </a:pattFill>
        <a:ln w="3175">
          <a:noFill/>
        </a:ln>
      </c:spPr>
    </c:plotArea>
    <c:legend>
      <c:legendPos val="r"/>
      <c:layout>
        <c:manualLayout>
          <c:xMode val="edge"/>
          <c:yMode val="edge"/>
          <c:x val="0.84475"/>
          <c:y val="0.15475"/>
          <c:w val="0.15525"/>
          <c:h val="0.30575"/>
        </c:manualLayout>
      </c:layout>
      <c:overlay val="0"/>
      <c:spPr>
        <a:noFill/>
        <a:ln w="3175">
          <a:noFill/>
        </a:ln>
      </c:spPr>
    </c:legend>
    <c:plotVisOnly val="1"/>
    <c:dispBlanksAs val="gap"/>
    <c:showDLblsOverMax val="0"/>
  </c:chart>
  <c:spPr>
    <a:solidFill>
      <a:srgbClr val="C0C0C0"/>
    </a:solidFill>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
          <c:w val="0.8355"/>
          <c:h val="0.94925"/>
        </c:manualLayout>
      </c:layout>
      <c:lineChart>
        <c:grouping val="standard"/>
        <c:varyColors val="0"/>
        <c:ser>
          <c:idx val="2"/>
          <c:order val="0"/>
          <c:tx>
            <c:strRef>
              <c:f>Series!$S$15</c:f>
              <c:strCache>
                <c:ptCount val="1"/>
                <c:pt idx="0">
                  <c:v>s</c:v>
                </c:pt>
              </c:strCache>
            </c:strRef>
          </c:tx>
          <c:spPr>
            <a:ln w="3175">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750</c:v>
                </c:pt>
                <c:pt idx="1">
                  <c:v>760</c:v>
                </c:pt>
                <c:pt idx="2">
                  <c:v>770</c:v>
                </c:pt>
                <c:pt idx="3">
                  <c:v>780</c:v>
                </c:pt>
                <c:pt idx="4">
                  <c:v>790</c:v>
                </c:pt>
                <c:pt idx="5">
                  <c:v>800</c:v>
                </c:pt>
                <c:pt idx="6">
                  <c:v>810</c:v>
                </c:pt>
                <c:pt idx="7">
                  <c:v>820</c:v>
                </c:pt>
                <c:pt idx="8">
                  <c:v>830</c:v>
                </c:pt>
                <c:pt idx="9">
                  <c:v>840</c:v>
                </c:pt>
                <c:pt idx="10">
                  <c:v>850</c:v>
                </c:pt>
                <c:pt idx="11">
                  <c:v>860</c:v>
                </c:pt>
                <c:pt idx="12">
                  <c:v>870</c:v>
                </c:pt>
                <c:pt idx="13">
                  <c:v>880</c:v>
                </c:pt>
                <c:pt idx="14">
                  <c:v>890</c:v>
                </c:pt>
                <c:pt idx="15">
                  <c:v>900</c:v>
                </c:pt>
                <c:pt idx="16">
                  <c:v>910</c:v>
                </c:pt>
                <c:pt idx="17">
                  <c:v>920</c:v>
                </c:pt>
                <c:pt idx="18">
                  <c:v>930</c:v>
                </c:pt>
                <c:pt idx="19">
                  <c:v>940</c:v>
                </c:pt>
                <c:pt idx="20">
                  <c:v>950</c:v>
                </c:pt>
              </c:numCache>
            </c:numRef>
          </c:cat>
          <c:val>
            <c:numRef>
              <c:f>Series!$S$16:$S$36</c:f>
              <c:numCache>
                <c:ptCount val="21"/>
                <c:pt idx="0">
                  <c:v>97.39825104380617</c:v>
                </c:pt>
                <c:pt idx="1">
                  <c:v>97.56037134005295</c:v>
                </c:pt>
                <c:pt idx="2">
                  <c:v>97.72303223762258</c:v>
                </c:pt>
                <c:pt idx="3">
                  <c:v>97.88623644503959</c:v>
                </c:pt>
                <c:pt idx="4">
                  <c:v>98.0499866889525</c:v>
                </c:pt>
                <c:pt idx="5">
                  <c:v>98.2142857142856</c:v>
                </c:pt>
                <c:pt idx="6">
                  <c:v>98.3791362843924</c:v>
                </c:pt>
                <c:pt idx="7">
                  <c:v>98.54454118121052</c:v>
                </c:pt>
                <c:pt idx="8">
                  <c:v>98.71050320541815</c:v>
                </c:pt>
                <c:pt idx="9">
                  <c:v>98.87702517659218</c:v>
                </c:pt>
                <c:pt idx="10">
                  <c:v>99.04410993336786</c:v>
                </c:pt>
                <c:pt idx="11">
                  <c:v>99.21176033360008</c:v>
                </c:pt>
                <c:pt idx="12">
                  <c:v>99.37997925452632</c:v>
                </c:pt>
                <c:pt idx="13">
                  <c:v>99.54876959293125</c:v>
                </c:pt>
                <c:pt idx="14">
                  <c:v>99.71813426531303</c:v>
                </c:pt>
                <c:pt idx="15">
                  <c:v>99.88807620805126</c:v>
                </c:pt>
                <c:pt idx="16">
                  <c:v>100.05859837757669</c:v>
                </c:pt>
                <c:pt idx="17">
                  <c:v>100.22970375054267</c:v>
                </c:pt>
                <c:pt idx="18">
                  <c:v>100.40139532399837</c:v>
                </c:pt>
                <c:pt idx="19">
                  <c:v>100.57367611556373</c:v>
                </c:pt>
                <c:pt idx="20">
                  <c:v>100.74654916360629</c:v>
                </c:pt>
              </c:numCache>
            </c:numRef>
          </c:val>
          <c:smooth val="1"/>
        </c:ser>
        <c:ser>
          <c:idx val="3"/>
          <c:order val="1"/>
          <c:tx>
            <c:strRef>
              <c:f>Series!$T$15</c:f>
              <c:strCache>
                <c:ptCount val="1"/>
                <c:pt idx="0">
                  <c:v>d</c:v>
                </c:pt>
              </c:strCache>
            </c:strRef>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750</c:v>
                </c:pt>
                <c:pt idx="1">
                  <c:v>760</c:v>
                </c:pt>
                <c:pt idx="2">
                  <c:v>770</c:v>
                </c:pt>
                <c:pt idx="3">
                  <c:v>780</c:v>
                </c:pt>
                <c:pt idx="4">
                  <c:v>790</c:v>
                </c:pt>
                <c:pt idx="5">
                  <c:v>800</c:v>
                </c:pt>
                <c:pt idx="6">
                  <c:v>810</c:v>
                </c:pt>
                <c:pt idx="7">
                  <c:v>820</c:v>
                </c:pt>
                <c:pt idx="8">
                  <c:v>830</c:v>
                </c:pt>
                <c:pt idx="9">
                  <c:v>840</c:v>
                </c:pt>
                <c:pt idx="10">
                  <c:v>850</c:v>
                </c:pt>
                <c:pt idx="11">
                  <c:v>860</c:v>
                </c:pt>
                <c:pt idx="12">
                  <c:v>870</c:v>
                </c:pt>
                <c:pt idx="13">
                  <c:v>880</c:v>
                </c:pt>
                <c:pt idx="14">
                  <c:v>890</c:v>
                </c:pt>
                <c:pt idx="15">
                  <c:v>900</c:v>
                </c:pt>
                <c:pt idx="16">
                  <c:v>910</c:v>
                </c:pt>
                <c:pt idx="17">
                  <c:v>920</c:v>
                </c:pt>
                <c:pt idx="18">
                  <c:v>930</c:v>
                </c:pt>
                <c:pt idx="19">
                  <c:v>940</c:v>
                </c:pt>
                <c:pt idx="20">
                  <c:v>950</c:v>
                </c:pt>
              </c:numCache>
            </c:numRef>
          </c:cat>
          <c:val>
            <c:numRef>
              <c:f>Series!$T$16:$T$36</c:f>
              <c:numCache>
                <c:ptCount val="21"/>
                <c:pt idx="0">
                  <c:v>98.95225040229161</c:v>
                </c:pt>
                <c:pt idx="1">
                  <c:v>98.80377160624491</c:v>
                </c:pt>
                <c:pt idx="2">
                  <c:v>98.65573773029222</c:v>
                </c:pt>
                <c:pt idx="3">
                  <c:v>98.5081467776055</c:v>
                </c:pt>
                <c:pt idx="4">
                  <c:v>98.36099676328809</c:v>
                </c:pt>
                <c:pt idx="5">
                  <c:v>98.21428571428561</c:v>
                </c:pt>
                <c:pt idx="6">
                  <c:v>98.0680116692979</c:v>
                </c:pt>
                <c:pt idx="7">
                  <c:v>97.92217267869152</c:v>
                </c:pt>
                <c:pt idx="8">
                  <c:v>97.7767668044132</c:v>
                </c:pt>
                <c:pt idx="9">
                  <c:v>97.63179211990395</c:v>
                </c:pt>
                <c:pt idx="10">
                  <c:v>97.48724671001398</c:v>
                </c:pt>
                <c:pt idx="11">
                  <c:v>97.34312867091838</c:v>
                </c:pt>
                <c:pt idx="12">
                  <c:v>97.19943611003352</c:v>
                </c:pt>
                <c:pt idx="13">
                  <c:v>97.05616714593421</c:v>
                </c:pt>
                <c:pt idx="14">
                  <c:v>96.91331990827157</c:v>
                </c:pt>
                <c:pt idx="15">
                  <c:v>96.77089253769171</c:v>
                </c:pt>
                <c:pt idx="16">
                  <c:v>96.62888318575492</c:v>
                </c:pt>
                <c:pt idx="17">
                  <c:v>96.48729001485582</c:v>
                </c:pt>
                <c:pt idx="18">
                  <c:v>96.34611119814407</c:v>
                </c:pt>
                <c:pt idx="19">
                  <c:v>96.2053449194458</c:v>
                </c:pt>
                <c:pt idx="20">
                  <c:v>96.0649893731857</c:v>
                </c:pt>
              </c:numCache>
            </c:numRef>
          </c:val>
          <c:smooth val="1"/>
        </c:ser>
        <c:ser>
          <c:idx val="0"/>
          <c:order val="2"/>
          <c:tx>
            <c:strRef>
              <c:f>Series!$U$15</c:f>
              <c:strCache>
                <c:ptCount val="1"/>
                <c:pt idx="0">
                  <c:v>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750</c:v>
                </c:pt>
                <c:pt idx="1">
                  <c:v>760</c:v>
                </c:pt>
                <c:pt idx="2">
                  <c:v>770</c:v>
                </c:pt>
                <c:pt idx="3">
                  <c:v>780</c:v>
                </c:pt>
                <c:pt idx="4">
                  <c:v>790</c:v>
                </c:pt>
                <c:pt idx="5">
                  <c:v>800</c:v>
                </c:pt>
                <c:pt idx="6">
                  <c:v>810</c:v>
                </c:pt>
                <c:pt idx="7">
                  <c:v>820</c:v>
                </c:pt>
                <c:pt idx="8">
                  <c:v>830</c:v>
                </c:pt>
                <c:pt idx="9">
                  <c:v>840</c:v>
                </c:pt>
                <c:pt idx="10">
                  <c:v>850</c:v>
                </c:pt>
                <c:pt idx="11">
                  <c:v>860</c:v>
                </c:pt>
                <c:pt idx="12">
                  <c:v>870</c:v>
                </c:pt>
                <c:pt idx="13">
                  <c:v>880</c:v>
                </c:pt>
                <c:pt idx="14">
                  <c:v>890</c:v>
                </c:pt>
                <c:pt idx="15">
                  <c:v>900</c:v>
                </c:pt>
                <c:pt idx="16">
                  <c:v>910</c:v>
                </c:pt>
                <c:pt idx="17">
                  <c:v>920</c:v>
                </c:pt>
                <c:pt idx="18">
                  <c:v>930</c:v>
                </c:pt>
                <c:pt idx="19">
                  <c:v>940</c:v>
                </c:pt>
                <c:pt idx="20">
                  <c:v>950</c:v>
                </c:pt>
              </c:numCache>
            </c:numRef>
          </c:cat>
          <c:val>
            <c:numRef>
              <c:f>Series!$U$16:$U$36</c:f>
              <c:numCache>
                <c:ptCount val="21"/>
                <c:pt idx="0">
                  <c:v>102.76511194156801</c:v>
                </c:pt>
                <c:pt idx="1">
                  <c:v>102.93239649766882</c:v>
                </c:pt>
                <c:pt idx="2">
                  <c:v>103.10022656478918</c:v>
                </c:pt>
                <c:pt idx="3">
                  <c:v>103.26860481563489</c:v>
                </c:pt>
                <c:pt idx="4">
                  <c:v>103.43753394040002</c:v>
                </c:pt>
                <c:pt idx="5">
                  <c:v>103.60701664691025</c:v>
                </c:pt>
                <c:pt idx="6">
                  <c:v>103.7770556607675</c:v>
                </c:pt>
                <c:pt idx="7">
                  <c:v>103.94765372549601</c:v>
                </c:pt>
                <c:pt idx="8">
                  <c:v>104.11881360268995</c:v>
                </c:pt>
                <c:pt idx="9">
                  <c:v>104.29053807216246</c:v>
                </c:pt>
                <c:pt idx="10">
                  <c:v>104.46282993209606</c:v>
                </c:pt>
                <c:pt idx="11">
                  <c:v>104.63569199919465</c:v>
                </c:pt>
                <c:pt idx="12">
                  <c:v>104.8091271088371</c:v>
                </c:pt>
                <c:pt idx="13">
                  <c:v>104.98313811523215</c:v>
                </c:pt>
                <c:pt idx="14">
                  <c:v>105.1577278915751</c:v>
                </c:pt>
                <c:pt idx="15">
                  <c:v>105.33289933020583</c:v>
                </c:pt>
                <c:pt idx="16">
                  <c:v>105.50865534276863</c:v>
                </c:pt>
                <c:pt idx="17">
                  <c:v>105.68499886037345</c:v>
                </c:pt>
                <c:pt idx="18">
                  <c:v>105.8619328337589</c:v>
                </c:pt>
                <c:pt idx="19">
                  <c:v>106.03946023345675</c:v>
                </c:pt>
                <c:pt idx="20">
                  <c:v>106.21758404995828</c:v>
                </c:pt>
              </c:numCache>
            </c:numRef>
          </c:val>
          <c:smooth val="1"/>
        </c:ser>
        <c:ser>
          <c:idx val="1"/>
          <c:order val="3"/>
          <c:tx>
            <c:strRef>
              <c:f>Series!$V$15</c:f>
              <c:strCache>
                <c:ptCount val="1"/>
                <c:pt idx="0">
                  <c:v>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Series!$R$16:$R$36</c:f>
              <c:numCache>
                <c:ptCount val="21"/>
                <c:pt idx="0">
                  <c:v>750</c:v>
                </c:pt>
                <c:pt idx="1">
                  <c:v>760</c:v>
                </c:pt>
                <c:pt idx="2">
                  <c:v>770</c:v>
                </c:pt>
                <c:pt idx="3">
                  <c:v>780</c:v>
                </c:pt>
                <c:pt idx="4">
                  <c:v>790</c:v>
                </c:pt>
                <c:pt idx="5">
                  <c:v>800</c:v>
                </c:pt>
                <c:pt idx="6">
                  <c:v>810</c:v>
                </c:pt>
                <c:pt idx="7">
                  <c:v>820</c:v>
                </c:pt>
                <c:pt idx="8">
                  <c:v>830</c:v>
                </c:pt>
                <c:pt idx="9">
                  <c:v>840</c:v>
                </c:pt>
                <c:pt idx="10">
                  <c:v>850</c:v>
                </c:pt>
                <c:pt idx="11">
                  <c:v>860</c:v>
                </c:pt>
                <c:pt idx="12">
                  <c:v>870</c:v>
                </c:pt>
                <c:pt idx="13">
                  <c:v>880</c:v>
                </c:pt>
                <c:pt idx="14">
                  <c:v>890</c:v>
                </c:pt>
                <c:pt idx="15">
                  <c:v>900</c:v>
                </c:pt>
                <c:pt idx="16">
                  <c:v>910</c:v>
                </c:pt>
                <c:pt idx="17">
                  <c:v>920</c:v>
                </c:pt>
                <c:pt idx="18">
                  <c:v>930</c:v>
                </c:pt>
                <c:pt idx="19">
                  <c:v>940</c:v>
                </c:pt>
                <c:pt idx="20">
                  <c:v>950</c:v>
                </c:pt>
              </c:numCache>
            </c:numRef>
          </c:cat>
          <c:val>
            <c:numRef>
              <c:f>Series!$V$16:$V$36</c:f>
              <c:numCache>
                <c:ptCount val="21"/>
                <c:pt idx="0">
                  <c:v>106.72019858901884</c:v>
                </c:pt>
                <c:pt idx="1">
                  <c:v>106.5600639125871</c:v>
                </c:pt>
                <c:pt idx="2">
                  <c:v>106.40040908336042</c:v>
                </c:pt>
                <c:pt idx="3">
                  <c:v>106.2412319477558</c:v>
                </c:pt>
                <c:pt idx="4">
                  <c:v>106.0825303650582</c:v>
                </c:pt>
                <c:pt idx="5">
                  <c:v>105.92430220732462</c:v>
                </c:pt>
                <c:pt idx="6">
                  <c:v>105.76654535928888</c:v>
                </c:pt>
                <c:pt idx="7">
                  <c:v>105.6092577182675</c:v>
                </c:pt>
                <c:pt idx="8">
                  <c:v>105.45243719406614</c:v>
                </c:pt>
                <c:pt idx="9">
                  <c:v>105.29608170888709</c:v>
                </c:pt>
                <c:pt idx="10">
                  <c:v>105.14018919723755</c:v>
                </c:pt>
                <c:pt idx="11">
                  <c:v>104.98475760583852</c:v>
                </c:pt>
                <c:pt idx="12">
                  <c:v>104.82978489353484</c:v>
                </c:pt>
                <c:pt idx="13">
                  <c:v>104.67526903120566</c:v>
                </c:pt>
                <c:pt idx="14">
                  <c:v>104.52120800167606</c:v>
                </c:pt>
                <c:pt idx="15">
                  <c:v>104.3675997996291</c:v>
                </c:pt>
                <c:pt idx="16">
                  <c:v>104.21444243151895</c:v>
                </c:pt>
                <c:pt idx="17">
                  <c:v>104.06173391548452</c:v>
                </c:pt>
                <c:pt idx="18">
                  <c:v>103.90947228126413</c:v>
                </c:pt>
                <c:pt idx="19">
                  <c:v>103.75765557011059</c:v>
                </c:pt>
                <c:pt idx="20">
                  <c:v>103.60628183470737</c:v>
                </c:pt>
              </c:numCache>
            </c:numRef>
          </c:val>
          <c:smooth val="1"/>
        </c:ser>
        <c:axId val="25597584"/>
        <c:axId val="29051665"/>
      </c:lineChart>
      <c:catAx>
        <c:axId val="25597584"/>
        <c:scaling>
          <c:orientation val="minMax"/>
        </c:scaling>
        <c:axPos val="b"/>
        <c:title>
          <c:tx>
            <c:rich>
              <a:bodyPr vert="horz" rot="0" anchor="ctr"/>
              <a:lstStyle/>
              <a:p>
                <a:pPr algn="ctr">
                  <a:defRPr/>
                </a:pPr>
                <a:r>
                  <a:rPr lang="en-US" cap="none" sz="800" b="1" i="0" u="none" baseline="0"/>
                  <a:t>quantity of Good #1</a:t>
                </a:r>
              </a:p>
            </c:rich>
          </c:tx>
          <c:layout>
            <c:manualLayout>
              <c:xMode val="factor"/>
              <c:yMode val="factor"/>
              <c:x val="0.00525"/>
              <c:y val="0.076"/>
            </c:manualLayout>
          </c:layout>
          <c:overlay val="0"/>
          <c:spPr>
            <a:noFill/>
            <a:ln>
              <a:noFill/>
            </a:ln>
          </c:spPr>
        </c:title>
        <c:delete val="0"/>
        <c:numFmt formatCode="0" sourceLinked="0"/>
        <c:majorTickMark val="out"/>
        <c:minorTickMark val="out"/>
        <c:tickLblPos val="nextTo"/>
        <c:txPr>
          <a:bodyPr vert="horz" rot="0"/>
          <a:lstStyle/>
          <a:p>
            <a:pPr>
              <a:defRPr lang="en-US" cap="none" sz="800" b="1" i="0" u="none" baseline="0"/>
            </a:pPr>
          </a:p>
        </c:txPr>
        <c:crossAx val="29051665"/>
        <c:crossesAt val="85"/>
        <c:auto val="0"/>
        <c:lblOffset val="100"/>
        <c:tickLblSkip val="5"/>
        <c:noMultiLvlLbl val="0"/>
      </c:catAx>
      <c:valAx>
        <c:axId val="29051665"/>
        <c:scaling>
          <c:orientation val="minMax"/>
          <c:max val="125"/>
          <c:min val="85"/>
        </c:scaling>
        <c:axPos val="l"/>
        <c:title>
          <c:tx>
            <c:rich>
              <a:bodyPr vert="horz" rot="-5400000" anchor="ctr"/>
              <a:lstStyle/>
              <a:p>
                <a:pPr algn="ctr">
                  <a:defRPr/>
                </a:pPr>
                <a:r>
                  <a:rPr lang="en-US" cap="none" sz="800" b="1" i="0" u="none" baseline="0"/>
                  <a:t>price of Good #1</a:t>
                </a:r>
              </a:p>
            </c:rich>
          </c:tx>
          <c:layout>
            <c:manualLayout>
              <c:xMode val="factor"/>
              <c:yMode val="factor"/>
              <c:x val="-0.011"/>
              <c:y val="0.017"/>
            </c:manualLayout>
          </c:layout>
          <c:overlay val="0"/>
          <c:spPr>
            <a:noFill/>
            <a:ln>
              <a:noFill/>
            </a:ln>
          </c:spPr>
        </c:title>
        <c:delete val="0"/>
        <c:numFmt formatCode="0" sourceLinked="0"/>
        <c:majorTickMark val="out"/>
        <c:minorTickMark val="out"/>
        <c:tickLblPos val="nextTo"/>
        <c:txPr>
          <a:bodyPr/>
          <a:lstStyle/>
          <a:p>
            <a:pPr>
              <a:defRPr lang="en-US" cap="none" sz="800" b="1" i="0" u="none" baseline="0"/>
            </a:pPr>
          </a:p>
        </c:txPr>
        <c:crossAx val="25597584"/>
        <c:crossesAt val="1"/>
        <c:crossBetween val="midCat"/>
        <c:dispUnits/>
        <c:majorUnit val="5"/>
        <c:minorUnit val="2.5"/>
      </c:valAx>
      <c:spPr>
        <a:pattFill prst="dotGrid">
          <a:fgClr>
            <a:srgbClr val="333333"/>
          </a:fgClr>
          <a:bgClr>
            <a:srgbClr val="C0C0C0"/>
          </a:bgClr>
        </a:pattFill>
        <a:ln w="3175">
          <a:noFill/>
        </a:ln>
      </c:spPr>
    </c:plotArea>
    <c:legend>
      <c:legendPos val="r"/>
      <c:layout>
        <c:manualLayout>
          <c:xMode val="edge"/>
          <c:yMode val="edge"/>
          <c:x val="0.8115"/>
          <c:y val="0.1355"/>
        </c:manualLayout>
      </c:layout>
      <c:overlay val="0"/>
      <c:spPr>
        <a:noFill/>
        <a:ln w="3175">
          <a:noFill/>
        </a:ln>
      </c:spPr>
    </c:legend>
    <c:plotVisOnly val="1"/>
    <c:dispBlanksAs val="gap"/>
    <c:showDLblsOverMax val="0"/>
  </c:chart>
  <c:spPr>
    <a:solidFill>
      <a:srgbClr val="C0C0C0"/>
    </a:solidFill>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2375"/>
          <c:w val="0.878"/>
          <c:h val="0.908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Series!$G$8:$G$38</c:f>
              <c:numCache>
                <c:ptCount val="31"/>
                <c:pt idx="0">
                  <c:v>0.11932873154542989</c:v>
                </c:pt>
                <c:pt idx="1">
                  <c:v>0.10424813029115221</c:v>
                </c:pt>
                <c:pt idx="2">
                  <c:v>0.10645549203945048</c:v>
                </c:pt>
                <c:pt idx="3">
                  <c:v>0.10762998307533223</c:v>
                </c:pt>
                <c:pt idx="4">
                  <c:v>0.10748524637649015</c:v>
                </c:pt>
                <c:pt idx="5">
                  <c:v>0.10717420024576252</c:v>
                </c:pt>
                <c:pt idx="6">
                  <c:v>0.10704177513171986</c:v>
                </c:pt>
                <c:pt idx="7">
                  <c:v>0.10702993079504952</c:v>
                </c:pt>
                <c:pt idx="8">
                  <c:v>0.10704435610975715</c:v>
                </c:pt>
                <c:pt idx="9">
                  <c:v>0.10705059953356244</c:v>
                </c:pt>
                <c:pt idx="10">
                  <c:v>0.10704932102382214</c:v>
                </c:pt>
                <c:pt idx="11">
                  <c:v>0.10704673911686546</c:v>
                </c:pt>
                <c:pt idx="12">
                  <c:v>0.1070453298205456</c:v>
                </c:pt>
                <c:pt idx="13">
                  <c:v>0.10704491249409798</c:v>
                </c:pt>
                <c:pt idx="14">
                  <c:v>0.10704484560618432</c:v>
                </c:pt>
                <c:pt idx="15">
                  <c:v>0.10704481505026875</c:v>
                </c:pt>
                <c:pt idx="16">
                  <c:v>0.10704476901397397</c:v>
                </c:pt>
                <c:pt idx="17">
                  <c:v>0.10704472809154275</c:v>
                </c:pt>
                <c:pt idx="18">
                  <c:v>0.10704470342662264</c:v>
                </c:pt>
                <c:pt idx="19">
                  <c:v>0.10704469159110919</c:v>
                </c:pt>
                <c:pt idx="20">
                  <c:v>0.10704468617478935</c:v>
                </c:pt>
                <c:pt idx="21">
                  <c:v>0.1070446833056864</c:v>
                </c:pt>
                <c:pt idx="22">
                  <c:v>0.10704468152915814</c:v>
                </c:pt>
                <c:pt idx="23">
                  <c:v>0.10704468041419113</c:v>
                </c:pt>
                <c:pt idx="24">
                  <c:v>0.10704467976058418</c:v>
                </c:pt>
                <c:pt idx="25">
                  <c:v>0.10704467940078621</c:v>
                </c:pt>
                <c:pt idx="26">
                  <c:v>0.10704467920612304</c:v>
                </c:pt>
                <c:pt idx="27">
                  <c:v>0.10704467909818893</c:v>
                </c:pt>
                <c:pt idx="28">
                  <c:v>0.10704467903642034</c:v>
                </c:pt>
                <c:pt idx="29">
                  <c:v>0.10704467900069758</c:v>
                </c:pt>
                <c:pt idx="30">
                  <c:v>0.10704467898534098</c:v>
                </c:pt>
              </c:numCache>
            </c:numRef>
          </c:val>
          <c:smooth val="1"/>
        </c:ser>
        <c:marker val="1"/>
        <c:axId val="60138394"/>
        <c:axId val="4374635"/>
      </c:lineChart>
      <c:lineChart>
        <c:grouping val="standard"/>
        <c:varyColors val="0"/>
        <c:ser>
          <c:idx val="3"/>
          <c:order val="1"/>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Series!$H$8:$H$38</c:f>
              <c:numCache>
                <c:ptCount val="31"/>
                <c:pt idx="0">
                  <c:v>0.42146479659614106</c:v>
                </c:pt>
                <c:pt idx="1">
                  <c:v>0.4830015036011442</c:v>
                </c:pt>
                <c:pt idx="2">
                  <c:v>0.4625761332947093</c:v>
                </c:pt>
                <c:pt idx="3">
                  <c:v>0.450903758010537</c:v>
                </c:pt>
                <c:pt idx="4">
                  <c:v>0.44770851102844594</c:v>
                </c:pt>
                <c:pt idx="5">
                  <c:v>0.44683348350277613</c:v>
                </c:pt>
                <c:pt idx="6">
                  <c:v>0.4461495566472221</c:v>
                </c:pt>
                <c:pt idx="7">
                  <c:v>0.4454977360676342</c:v>
                </c:pt>
                <c:pt idx="8">
                  <c:v>0.4450423571013926</c:v>
                </c:pt>
                <c:pt idx="9">
                  <c:v>0.44479401789232836</c:v>
                </c:pt>
                <c:pt idx="10">
                  <c:v>0.444673902787912</c:v>
                </c:pt>
                <c:pt idx="11">
                  <c:v>0.44461359390304106</c:v>
                </c:pt>
                <c:pt idx="12">
                  <c:v>0.44457913940065724</c:v>
                </c:pt>
                <c:pt idx="13">
                  <c:v>0.44455801672022865</c:v>
                </c:pt>
                <c:pt idx="14">
                  <c:v>0.4445453561188819</c:v>
                </c:pt>
                <c:pt idx="15">
                  <c:v>0.44453816520109646</c:v>
                </c:pt>
                <c:pt idx="16">
                  <c:v>0.4445342161733711</c:v>
                </c:pt>
                <c:pt idx="17">
                  <c:v>0.4445320417795501</c:v>
                </c:pt>
                <c:pt idx="18">
                  <c:v>0.44453081608383344</c:v>
                </c:pt>
                <c:pt idx="19">
                  <c:v>0.4445301128611943</c:v>
                </c:pt>
                <c:pt idx="20">
                  <c:v>0.44452970928527036</c:v>
                </c:pt>
                <c:pt idx="21">
                  <c:v>0.4445294799767036</c:v>
                </c:pt>
                <c:pt idx="22">
                  <c:v>0.444529350782981</c:v>
                </c:pt>
                <c:pt idx="23">
                  <c:v>0.4445292780804166</c:v>
                </c:pt>
                <c:pt idx="24">
                  <c:v>0.4445292370000192</c:v>
                </c:pt>
                <c:pt idx="25">
                  <c:v>0.44452921369226284</c:v>
                </c:pt>
                <c:pt idx="26">
                  <c:v>0.44452920045561645</c:v>
                </c:pt>
                <c:pt idx="27">
                  <c:v>0.44452919295077364</c:v>
                </c:pt>
                <c:pt idx="28">
                  <c:v>0.4445291887038869</c:v>
                </c:pt>
                <c:pt idx="29">
                  <c:v>0.44452918630212473</c:v>
                </c:pt>
                <c:pt idx="30">
                  <c:v>0.44452918528138463</c:v>
                </c:pt>
              </c:numCache>
            </c:numRef>
          </c:val>
          <c:smooth val="1"/>
        </c:ser>
        <c:marker val="1"/>
        <c:axId val="39371716"/>
        <c:axId val="18801125"/>
      </c:lineChart>
      <c:catAx>
        <c:axId val="60138394"/>
        <c:scaling>
          <c:orientation val="minMax"/>
        </c:scaling>
        <c:axPos val="b"/>
        <c:title>
          <c:tx>
            <c:rich>
              <a:bodyPr vert="horz" rot="0" anchor="ctr"/>
              <a:lstStyle/>
              <a:p>
                <a:pPr algn="ctr">
                  <a:defRPr/>
                </a:pPr>
                <a:r>
                  <a:rPr lang="en-US" cap="none" sz="800" b="1" i="0" u="none" baseline="0"/>
                  <a:t>year</a:t>
                </a:r>
              </a:p>
            </c:rich>
          </c:tx>
          <c:layout>
            <c:manualLayout>
              <c:xMode val="factor"/>
              <c:yMode val="factor"/>
              <c:x val="0.00475"/>
              <c:y val="0.10425"/>
            </c:manualLayout>
          </c:layout>
          <c:overlay val="0"/>
          <c:spPr>
            <a:noFill/>
            <a:ln>
              <a:noFill/>
            </a:ln>
          </c:spPr>
        </c:title>
        <c:delete val="0"/>
        <c:numFmt formatCode="0" sourceLinked="0"/>
        <c:majorTickMark val="out"/>
        <c:minorTickMark val="out"/>
        <c:tickLblPos val="nextTo"/>
        <c:crossAx val="4374635"/>
        <c:crossesAt val="0.09"/>
        <c:auto val="0"/>
        <c:lblOffset val="100"/>
        <c:tickLblSkip val="5"/>
        <c:tickMarkSkip val="5"/>
        <c:noMultiLvlLbl val="0"/>
      </c:catAx>
      <c:valAx>
        <c:axId val="4374635"/>
        <c:scaling>
          <c:orientation val="minMax"/>
          <c:max val="0.12"/>
          <c:min val="0.09"/>
        </c:scaling>
        <c:axPos val="l"/>
        <c:title>
          <c:tx>
            <c:rich>
              <a:bodyPr vert="horz" rot="-5400000" anchor="ctr"/>
              <a:lstStyle/>
              <a:p>
                <a:pPr algn="ctr">
                  <a:defRPr/>
                </a:pPr>
                <a:r>
                  <a:rPr lang="en-US" cap="none" sz="800" b="1" i="0" u="none" baseline="0">
                    <a:solidFill>
                      <a:srgbClr val="800000"/>
                    </a:solidFill>
                  </a:rPr>
                  <a:t>interest rate</a:t>
                </a:r>
              </a:p>
            </c:rich>
          </c:tx>
          <c:layout>
            <c:manualLayout>
              <c:xMode val="factor"/>
              <c:yMode val="factor"/>
              <c:x val="-0.0025"/>
              <c:y val="-0.01425"/>
            </c:manualLayout>
          </c:layout>
          <c:overlay val="0"/>
          <c:spPr>
            <a:noFill/>
            <a:ln>
              <a:noFill/>
            </a:ln>
          </c:spPr>
        </c:title>
        <c:delete val="0"/>
        <c:numFmt formatCode="0.0%" sourceLinked="0"/>
        <c:majorTickMark val="out"/>
        <c:minorTickMark val="out"/>
        <c:tickLblPos val="nextTo"/>
        <c:txPr>
          <a:bodyPr/>
          <a:lstStyle/>
          <a:p>
            <a:pPr>
              <a:defRPr lang="en-US" cap="none" sz="800" b="1" i="0" u="none" baseline="0">
                <a:solidFill>
                  <a:srgbClr val="800000"/>
                </a:solidFill>
              </a:defRPr>
            </a:pPr>
          </a:p>
        </c:txPr>
        <c:crossAx val="60138394"/>
        <c:crossesAt val="1"/>
        <c:crossBetween val="midCat"/>
        <c:dispUnits/>
        <c:majorUnit val="0.01"/>
        <c:minorUnit val="0.0025"/>
      </c:valAx>
      <c:catAx>
        <c:axId val="39371716"/>
        <c:scaling>
          <c:orientation val="minMax"/>
        </c:scaling>
        <c:axPos val="b"/>
        <c:delete val="1"/>
        <c:majorTickMark val="in"/>
        <c:minorTickMark val="none"/>
        <c:tickLblPos val="nextTo"/>
        <c:crossAx val="18801125"/>
        <c:crossesAt val="0.4"/>
        <c:auto val="0"/>
        <c:lblOffset val="100"/>
        <c:noMultiLvlLbl val="0"/>
      </c:catAx>
      <c:valAx>
        <c:axId val="18801125"/>
        <c:scaling>
          <c:orientation val="minMax"/>
          <c:max val="0.6"/>
          <c:min val="0.4"/>
        </c:scaling>
        <c:axPos val="l"/>
        <c:title>
          <c:tx>
            <c:rich>
              <a:bodyPr vert="horz" rot="-5400000" anchor="ctr"/>
              <a:lstStyle/>
              <a:p>
                <a:pPr algn="ctr">
                  <a:defRPr/>
                </a:pPr>
                <a:r>
                  <a:rPr lang="en-US" cap="none" sz="800" b="1" i="0" u="none" baseline="0"/>
                  <a:t>currency value</a:t>
                </a:r>
              </a:p>
            </c:rich>
          </c:tx>
          <c:layout>
            <c:manualLayout>
              <c:xMode val="factor"/>
              <c:yMode val="factor"/>
              <c:x val="-0.00625"/>
              <c:y val="-0.001"/>
            </c:manualLayout>
          </c:layout>
          <c:overlay val="0"/>
          <c:spPr>
            <a:noFill/>
            <a:ln>
              <a:noFill/>
            </a:ln>
          </c:spPr>
        </c:title>
        <c:delete val="0"/>
        <c:numFmt formatCode="0.00" sourceLinked="0"/>
        <c:majorTickMark val="out"/>
        <c:minorTickMark val="out"/>
        <c:tickLblPos val="nextTo"/>
        <c:crossAx val="39371716"/>
        <c:crosses val="max"/>
        <c:crossBetween val="midCat"/>
        <c:dispUnits/>
        <c:majorUnit val="0.05"/>
        <c:minorUnit val="0.01"/>
      </c:valAx>
      <c:spPr>
        <a:pattFill prst="dotGrid">
          <a:fgClr>
            <a:srgbClr val="333333"/>
          </a:fgClr>
          <a:bgClr>
            <a:srgbClr val="C0C0C0"/>
          </a:bgClr>
        </a:pattFill>
        <a:ln w="3175">
          <a:noFill/>
        </a:ln>
      </c:spPr>
    </c:plotArea>
    <c:plotVisOnly val="1"/>
    <c:dispBlanksAs val="gap"/>
    <c:showDLblsOverMax val="0"/>
  </c:chart>
  <c:spPr>
    <a:solidFill>
      <a:srgbClr val="C0C0C0"/>
    </a:solidFill>
    <a:ln w="3175">
      <a:noFill/>
    </a:ln>
  </c:spPr>
  <c:txPr>
    <a:bodyPr vert="horz" rot="0"/>
    <a:lstStyle/>
    <a:p>
      <a:pPr>
        <a:defRPr lang="en-US" cap="none" sz="800" b="1"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year</a:t>
            </a:r>
          </a:p>
        </c:rich>
      </c:tx>
      <c:layout>
        <c:manualLayout>
          <c:xMode val="factor"/>
          <c:yMode val="factor"/>
          <c:x val="0.337"/>
          <c:y val="0.8745"/>
        </c:manualLayout>
      </c:layout>
      <c:spPr>
        <a:noFill/>
        <a:ln>
          <a:noFill/>
        </a:ln>
      </c:spPr>
    </c:title>
    <c:plotArea>
      <c:layout>
        <c:manualLayout>
          <c:xMode val="edge"/>
          <c:yMode val="edge"/>
          <c:x val="0.12375"/>
          <c:y val="0.02025"/>
          <c:w val="0.8185"/>
          <c:h val="0.91575"/>
        </c:manualLayout>
      </c:layout>
      <c:lineChart>
        <c:grouping val="standard"/>
        <c:varyColors val="0"/>
        <c:ser>
          <c:idx val="1"/>
          <c:order val="0"/>
          <c:tx>
            <c:strRef>
              <c:f>Series!$D$7</c:f>
              <c:strCache>
                <c:ptCount val="1"/>
                <c:pt idx="0">
                  <c:v>Y1</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Series!$D$8:$D$38</c:f>
              <c:numCache>
                <c:ptCount val="31"/>
                <c:pt idx="0">
                  <c:v>816</c:v>
                </c:pt>
                <c:pt idx="1">
                  <c:v>843.7429151738452</c:v>
                </c:pt>
                <c:pt idx="2">
                  <c:v>863.2216973630348</c:v>
                </c:pt>
                <c:pt idx="3">
                  <c:v>869.2439244919387</c:v>
                </c:pt>
                <c:pt idx="4">
                  <c:v>869.4282442732683</c:v>
                </c:pt>
                <c:pt idx="5">
                  <c:v>869.2195565313577</c:v>
                </c:pt>
                <c:pt idx="6">
                  <c:v>869.5731522424139</c:v>
                </c:pt>
                <c:pt idx="7">
                  <c:v>870.0470737047408</c:v>
                </c:pt>
                <c:pt idx="8">
                  <c:v>870.354651461138</c:v>
                </c:pt>
                <c:pt idx="9">
                  <c:v>870.4961127823799</c:v>
                </c:pt>
                <c:pt idx="10">
                  <c:v>870.553710041444</c:v>
                </c:pt>
                <c:pt idx="11">
                  <c:v>870.5820377631899</c:v>
                </c:pt>
                <c:pt idx="12">
                  <c:v>870.6003530102289</c:v>
                </c:pt>
                <c:pt idx="13">
                  <c:v>870.612607346693</c:v>
                </c:pt>
                <c:pt idx="14">
                  <c:v>870.6199973864741</c:v>
                </c:pt>
                <c:pt idx="15">
                  <c:v>870.6240351832439</c:v>
                </c:pt>
                <c:pt idx="16">
                  <c:v>870.6261668012539</c:v>
                </c:pt>
                <c:pt idx="17">
                  <c:v>870.6273291361422</c:v>
                </c:pt>
                <c:pt idx="18">
                  <c:v>870.6279958150581</c:v>
                </c:pt>
                <c:pt idx="19">
                  <c:v>870.6283858362676</c:v>
                </c:pt>
                <c:pt idx="20">
                  <c:v>870.6286109463799</c:v>
                </c:pt>
                <c:pt idx="21">
                  <c:v>870.6287380351432</c:v>
                </c:pt>
                <c:pt idx="22">
                  <c:v>870.6288090112903</c:v>
                </c:pt>
                <c:pt idx="23">
                  <c:v>870.6288488112095</c:v>
                </c:pt>
                <c:pt idx="24">
                  <c:v>870.6288713534614</c:v>
                </c:pt>
                <c:pt idx="25">
                  <c:v>870.628884195331</c:v>
                </c:pt>
                <c:pt idx="26">
                  <c:v>870.6288915024943</c:v>
                </c:pt>
                <c:pt idx="27">
                  <c:v>870.628895642215</c:v>
                </c:pt>
                <c:pt idx="28">
                  <c:v>870.6288979806059</c:v>
                </c:pt>
                <c:pt idx="29">
                  <c:v>870.6288993016778</c:v>
                </c:pt>
                <c:pt idx="30">
                  <c:v>870.628899863199</c:v>
                </c:pt>
              </c:numCache>
            </c:numRef>
          </c:val>
          <c:smooth val="1"/>
        </c:ser>
        <c:ser>
          <c:idx val="4"/>
          <c:order val="1"/>
          <c:tx>
            <c:strRef>
              <c:f>Series!$E$7</c:f>
              <c:strCache>
                <c:ptCount val="1"/>
                <c:pt idx="0">
                  <c:v>S1</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Series!$C$8:$C$38</c:f>
              <c:numCache>
                <c:ptCount val="31"/>
                <c:pt idx="0">
                  <c:v>0</c:v>
                </c:pt>
                <c:pt idx="1">
                  <c:v>1.009999394416809</c:v>
                </c:pt>
                <c:pt idx="2">
                  <c:v>2.019998550415039</c:v>
                </c:pt>
                <c:pt idx="3">
                  <c:v>3.0299975872039795</c:v>
                </c:pt>
                <c:pt idx="4">
                  <c:v>4.039997577667236</c:v>
                </c:pt>
                <c:pt idx="5">
                  <c:v>5.050020694732666</c:v>
                </c:pt>
                <c:pt idx="6">
                  <c:v>6.060043811798096</c:v>
                </c:pt>
                <c:pt idx="7">
                  <c:v>7.070066928863525</c:v>
                </c:pt>
                <c:pt idx="8">
                  <c:v>8.080089569091797</c:v>
                </c:pt>
                <c:pt idx="9">
                  <c:v>9.090112686157227</c:v>
                </c:pt>
                <c:pt idx="10">
                  <c:v>10.100135803222656</c:v>
                </c:pt>
                <c:pt idx="11">
                  <c:v>11.110158920288086</c:v>
                </c:pt>
                <c:pt idx="12">
                  <c:v>12.120182037353516</c:v>
                </c:pt>
                <c:pt idx="13">
                  <c:v>13.130205154418945</c:v>
                </c:pt>
                <c:pt idx="14">
                  <c:v>14.140228271484375</c:v>
                </c:pt>
                <c:pt idx="15">
                  <c:v>15.150251388549805</c:v>
                </c:pt>
                <c:pt idx="16">
                  <c:v>16.160274505615234</c:v>
                </c:pt>
                <c:pt idx="17">
                  <c:v>17.170297622680664</c:v>
                </c:pt>
                <c:pt idx="18">
                  <c:v>18.180320739746094</c:v>
                </c:pt>
                <c:pt idx="19">
                  <c:v>19.190343856811523</c:v>
                </c:pt>
                <c:pt idx="20">
                  <c:v>20.200366973876953</c:v>
                </c:pt>
                <c:pt idx="21">
                  <c:v>21.210390090942383</c:v>
                </c:pt>
                <c:pt idx="22">
                  <c:v>22.220413208007812</c:v>
                </c:pt>
                <c:pt idx="23">
                  <c:v>23.230436325073242</c:v>
                </c:pt>
                <c:pt idx="24">
                  <c:v>24.240459442138672</c:v>
                </c:pt>
                <c:pt idx="25">
                  <c:v>25.2504825592041</c:v>
                </c:pt>
                <c:pt idx="26">
                  <c:v>26.26050567626953</c:v>
                </c:pt>
                <c:pt idx="27">
                  <c:v>27.27052879333496</c:v>
                </c:pt>
                <c:pt idx="28">
                  <c:v>28.28055191040039</c:v>
                </c:pt>
                <c:pt idx="29">
                  <c:v>29.29057502746582</c:v>
                </c:pt>
                <c:pt idx="30">
                  <c:v>30.000591278076172</c:v>
                </c:pt>
              </c:numCache>
            </c:numRef>
          </c:cat>
          <c:val>
            <c:numRef>
              <c:f>Series!$E$8:$E$38</c:f>
              <c:numCache>
                <c:ptCount val="31"/>
                <c:pt idx="0">
                  <c:v>816</c:v>
                </c:pt>
                <c:pt idx="1">
                  <c:v>843.7429151738452</c:v>
                </c:pt>
                <c:pt idx="2">
                  <c:v>863.2216973630348</c:v>
                </c:pt>
                <c:pt idx="3">
                  <c:v>869.2439244919387</c:v>
                </c:pt>
                <c:pt idx="4">
                  <c:v>869.4282442732683</c:v>
                </c:pt>
                <c:pt idx="5">
                  <c:v>869.2195565313577</c:v>
                </c:pt>
                <c:pt idx="6">
                  <c:v>869.5731522424139</c:v>
                </c:pt>
                <c:pt idx="7">
                  <c:v>870.0470737047408</c:v>
                </c:pt>
                <c:pt idx="8">
                  <c:v>870.354651461138</c:v>
                </c:pt>
                <c:pt idx="9">
                  <c:v>870.4961127823799</c:v>
                </c:pt>
                <c:pt idx="10">
                  <c:v>870.553710041444</c:v>
                </c:pt>
                <c:pt idx="11">
                  <c:v>870.5820377631899</c:v>
                </c:pt>
                <c:pt idx="12">
                  <c:v>870.6003530102289</c:v>
                </c:pt>
                <c:pt idx="13">
                  <c:v>870.612607346693</c:v>
                </c:pt>
                <c:pt idx="14">
                  <c:v>870.6199973864741</c:v>
                </c:pt>
                <c:pt idx="15">
                  <c:v>870.6240351832439</c:v>
                </c:pt>
                <c:pt idx="16">
                  <c:v>870.6261668012539</c:v>
                </c:pt>
                <c:pt idx="17">
                  <c:v>870.6273291361422</c:v>
                </c:pt>
                <c:pt idx="18">
                  <c:v>870.6279958150581</c:v>
                </c:pt>
                <c:pt idx="19">
                  <c:v>870.6283858362676</c:v>
                </c:pt>
                <c:pt idx="20">
                  <c:v>870.6286109463799</c:v>
                </c:pt>
                <c:pt idx="21">
                  <c:v>870.6287380351432</c:v>
                </c:pt>
                <c:pt idx="22">
                  <c:v>870.6288090112903</c:v>
                </c:pt>
                <c:pt idx="23">
                  <c:v>870.6288488112095</c:v>
                </c:pt>
                <c:pt idx="24">
                  <c:v>870.6288713534614</c:v>
                </c:pt>
                <c:pt idx="25">
                  <c:v>870.628884195331</c:v>
                </c:pt>
                <c:pt idx="26">
                  <c:v>870.6288915024943</c:v>
                </c:pt>
                <c:pt idx="27">
                  <c:v>870.628895642215</c:v>
                </c:pt>
                <c:pt idx="28">
                  <c:v>870.6288979806059</c:v>
                </c:pt>
                <c:pt idx="29">
                  <c:v>870.6288993016778</c:v>
                </c:pt>
                <c:pt idx="30">
                  <c:v>870.628899863199</c:v>
                </c:pt>
              </c:numCache>
            </c:numRef>
          </c:val>
          <c:smooth val="1"/>
        </c:ser>
        <c:ser>
          <c:idx val="0"/>
          <c:order val="2"/>
          <c:tx>
            <c:strRef>
              <c:f>Series!$F$7</c:f>
              <c:strCache>
                <c:ptCount val="1"/>
                <c:pt idx="0">
                  <c:v>D1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Series!$F$8:$F$38</c:f>
              <c:numCache>
                <c:ptCount val="31"/>
                <c:pt idx="0">
                  <c:v>921.1134828559643</c:v>
                </c:pt>
                <c:pt idx="1">
                  <c:v>912.8902448374996</c:v>
                </c:pt>
                <c:pt idx="2">
                  <c:v>892.2816993479202</c:v>
                </c:pt>
                <c:pt idx="3">
                  <c:v>881.1411591629624</c:v>
                </c:pt>
                <c:pt idx="4">
                  <c:v>876.719829237032</c:v>
                </c:pt>
                <c:pt idx="5">
                  <c:v>874.5373967096251</c:v>
                </c:pt>
                <c:pt idx="6">
                  <c:v>873.0442063516759</c:v>
                </c:pt>
                <c:pt idx="7">
                  <c:v>872.010970840237</c:v>
                </c:pt>
                <c:pt idx="8">
                  <c:v>871.3826170678267</c:v>
                </c:pt>
                <c:pt idx="9">
                  <c:v>871.0401496473701</c:v>
                </c:pt>
                <c:pt idx="10">
                  <c:v>870.8601146588466</c:v>
                </c:pt>
                <c:pt idx="11">
                  <c:v>870.7620263696994</c:v>
                </c:pt>
                <c:pt idx="12">
                  <c:v>870.7056335747507</c:v>
                </c:pt>
                <c:pt idx="13">
                  <c:v>870.6725661139127</c:v>
                </c:pt>
                <c:pt idx="14">
                  <c:v>870.6534704905422</c:v>
                </c:pt>
                <c:pt idx="15">
                  <c:v>870.6426994232316</c:v>
                </c:pt>
                <c:pt idx="16">
                  <c:v>870.636690611854</c:v>
                </c:pt>
                <c:pt idx="17">
                  <c:v>870.6333225315093</c:v>
                </c:pt>
                <c:pt idx="18">
                  <c:v>870.6314142868804</c:v>
                </c:pt>
                <c:pt idx="19">
                  <c:v>870.630326667105</c:v>
                </c:pt>
                <c:pt idx="20">
                  <c:v>870.6297076693127</c:v>
                </c:pt>
                <c:pt idx="21">
                  <c:v>870.6293570295253</c:v>
                </c:pt>
                <c:pt idx="22">
                  <c:v>870.6291590089619</c:v>
                </c:pt>
                <c:pt idx="23">
                  <c:v>870.6290471503311</c:v>
                </c:pt>
                <c:pt idx="24">
                  <c:v>870.6289838347789</c:v>
                </c:pt>
                <c:pt idx="25">
                  <c:v>870.628947941244</c:v>
                </c:pt>
                <c:pt idx="26">
                  <c:v>870.6289275919999</c:v>
                </c:pt>
                <c:pt idx="27">
                  <c:v>870.6289160652162</c:v>
                </c:pt>
                <c:pt idx="28">
                  <c:v>870.6289095407689</c:v>
                </c:pt>
                <c:pt idx="29">
                  <c:v>870.6289058481806</c:v>
                </c:pt>
                <c:pt idx="30">
                  <c:v>870.6289042781143</c:v>
                </c:pt>
              </c:numCache>
            </c:numRef>
          </c:val>
          <c:smooth val="1"/>
        </c:ser>
        <c:axId val="34992398"/>
        <c:axId val="46496127"/>
      </c:lineChart>
      <c:catAx>
        <c:axId val="34992398"/>
        <c:scaling>
          <c:orientation val="minMax"/>
        </c:scaling>
        <c:axPos val="b"/>
        <c:delete val="0"/>
        <c:numFmt formatCode="0" sourceLinked="0"/>
        <c:majorTickMark val="out"/>
        <c:minorTickMark val="out"/>
        <c:tickLblPos val="nextTo"/>
        <c:txPr>
          <a:bodyPr vert="horz" rot="0"/>
          <a:lstStyle/>
          <a:p>
            <a:pPr>
              <a:defRPr lang="en-US" cap="none" sz="800" b="1" i="0" u="none" baseline="0"/>
            </a:pPr>
          </a:p>
        </c:txPr>
        <c:crossAx val="46496127"/>
        <c:crossesAt val="775"/>
        <c:auto val="0"/>
        <c:lblOffset val="100"/>
        <c:tickLblSkip val="5"/>
        <c:tickMarkSkip val="5"/>
        <c:noMultiLvlLbl val="0"/>
      </c:catAx>
      <c:valAx>
        <c:axId val="46496127"/>
        <c:scaling>
          <c:orientation val="minMax"/>
          <c:max val="925"/>
          <c:min val="775"/>
        </c:scaling>
        <c:axPos val="l"/>
        <c:title>
          <c:tx>
            <c:rich>
              <a:bodyPr vert="horz" rot="-5400000" anchor="ctr"/>
              <a:lstStyle/>
              <a:p>
                <a:pPr algn="ctr">
                  <a:defRPr/>
                </a:pPr>
                <a:r>
                  <a:rPr lang="en-US" cap="none" sz="800" b="1" i="0" u="none" baseline="0"/>
                  <a:t>quantity of Good #1 per year</a:t>
                </a:r>
              </a:p>
            </c:rich>
          </c:tx>
          <c:layout>
            <c:manualLayout>
              <c:xMode val="factor"/>
              <c:yMode val="factor"/>
              <c:x val="-0.0095"/>
              <c:y val="-0.0205"/>
            </c:manualLayout>
          </c:layout>
          <c:overlay val="0"/>
          <c:spPr>
            <a:noFill/>
            <a:ln>
              <a:noFill/>
            </a:ln>
          </c:spPr>
        </c:title>
        <c:delete val="0"/>
        <c:numFmt formatCode="0" sourceLinked="0"/>
        <c:majorTickMark val="out"/>
        <c:minorTickMark val="out"/>
        <c:tickLblPos val="nextTo"/>
        <c:txPr>
          <a:bodyPr/>
          <a:lstStyle/>
          <a:p>
            <a:pPr>
              <a:defRPr lang="en-US" cap="none" sz="800" b="1" i="0" u="none" baseline="0"/>
            </a:pPr>
          </a:p>
        </c:txPr>
        <c:crossAx val="34992398"/>
        <c:crossesAt val="1"/>
        <c:crossBetween val="midCat"/>
        <c:dispUnits/>
        <c:majorUnit val="25"/>
        <c:minorUnit val="5"/>
      </c:valAx>
      <c:spPr>
        <a:pattFill prst="dotGrid">
          <a:fgClr>
            <a:srgbClr val="333333"/>
          </a:fgClr>
          <a:bgClr>
            <a:srgbClr val="C0C0C0"/>
          </a:bgClr>
        </a:pattFill>
        <a:ln w="3175">
          <a:noFill/>
        </a:ln>
      </c:spPr>
    </c:plotArea>
    <c:legend>
      <c:legendPos val="r"/>
      <c:layout>
        <c:manualLayout>
          <c:xMode val="edge"/>
          <c:yMode val="edge"/>
          <c:x val="0.8805"/>
          <c:y val="0.433"/>
          <c:w val="0.1195"/>
          <c:h val="0.17775"/>
        </c:manualLayout>
      </c:layout>
      <c:overlay val="0"/>
      <c:spPr>
        <a:noFill/>
        <a:ln w="3175">
          <a:noFill/>
        </a:ln>
      </c:spPr>
    </c:legend>
    <c:plotVisOnly val="1"/>
    <c:dispBlanksAs val="gap"/>
    <c:showDLblsOverMax val="0"/>
  </c:chart>
  <c:spPr>
    <a:solidFill>
      <a:srgbClr val="C0C0C0"/>
    </a:solidFill>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fecon.com/" TargetMode="External" /><Relationship Id="rId3" Type="http://schemas.openxmlformats.org/officeDocument/2006/relationships/hyperlink" Target="http://www.sfecon.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38100</xdr:rowOff>
    </xdr:from>
    <xdr:to>
      <xdr:col>12</xdr:col>
      <xdr:colOff>200025</xdr:colOff>
      <xdr:row>111</xdr:row>
      <xdr:rowOff>133350</xdr:rowOff>
    </xdr:to>
    <xdr:sp>
      <xdr:nvSpPr>
        <xdr:cNvPr id="1" name="TextBox 2"/>
        <xdr:cNvSpPr txBox="1">
          <a:spLocks noChangeArrowheads="1"/>
        </xdr:cNvSpPr>
      </xdr:nvSpPr>
      <xdr:spPr>
        <a:xfrm>
          <a:off x="1304925" y="361950"/>
          <a:ext cx="7124700" cy="17745075"/>
        </a:xfrm>
        <a:prstGeom prst="rect">
          <a:avLst/>
        </a:prstGeom>
        <a:noFill/>
        <a:ln w="9525" cmpd="sng">
          <a:noFill/>
        </a:ln>
      </xdr:spPr>
      <xdr:txBody>
        <a:bodyPr vertOverflow="clip" wrap="square"/>
        <a:p>
          <a:pPr algn="l">
            <a:defRPr/>
          </a:pPr>
          <a:r>
            <a:rPr lang="en-US" cap="none" sz="1200" b="1" i="0" u="none" baseline="0"/>
            <a:t>Print this sheet -- it explains the other sheets.
This workbook embodies a certain SFEcon theory of economic adjustment that is explicated at www.sfecon.com. It is written in Excel 2003. The workbook contains VBasic programs that will alert anti-virus software. Upon opening, your ‘security setting’ must be no higher than ‘medium’ when the workbook is loaded, and macros must be ‘enabled’ in order to run the programs. 
The M0.1.1.1 workbook operates on a 2 x 2 economic matrix representing a 'Robinson Crusoe' economy: Sector 1 produces the economy's only economic good; and Sector 2 is Crusoe’s household. 
The ‘1 DT’ sheet displays a matrix transformation by which an economic state is advanced across one differential element of time. State variables embody 1) the physical holdings of a commodity by a sector, and 2) money in the forms of either capital invested or savings accumulated. State variables are highlighted in background shades of blue and green. All matrices used by the algorithm are associated with data names that are explicated through the Glossary Page at sfecon.com.
The pattern of computations proceeds from left to right, down, and back from right to left. This pattern begins with the model's current state and ends with its next state. These computations have reference to parameters describing 1) the commodities’ turnover rates , and 2) the sectors’ production and utility tradeoffs. Parameters are highlighted in background shades of lavender and purple, and are grouped at the top of ‘1 DT’. The algorithm’s computations terminate in an instantaneous rate of change for each state variable. Rates are highlighted in background shades of yellow.
Rates are integrated with the system’s current state by simple application of Euler’s rule in order to compute the system’s next state. Passage of one differential time period is accomplished by overlaying the values of the current state with the values computed for the next state. Time's passage is emulated by a macro that recursively overlays 'current states' with 'next states' using Excel’s 'paste values' command. 
Simulation controls are located on the left side of ‘1 DT’. These are comprised in a few buttons and simulation parameters. All the simulation parameters, TIME, DT, PER, and SIMLEN are measured in years. The SIMLEN parameter can be changed at will to alter the period to be simulated. Other parameters should NOT require alteration. 
The ‘Reinitiate’ button sets the model to its equilibrium state and clears any data generated by prior experiments. This button must be clicked in the process of preparing to run each new simulation.
The ‘Plastic’, ‘Elastic’, and ‘Monetary’ buttons give the experimenter a set of options with which to stimulate the model. ‘Plastic’ is currently set to suddenly make Sector 1 a more efficient user of its inputs. ‘Elastic’ is currently set to suddenly create an excess of Sector 1's product. ‘Monetary’ suddenly increases the capital stock.
The ‘Simulate Time’ button launches an experiment, which traces the model’s adjustment to the imposed stimuli through time. This process creates graphically advancing time series as it advances TIME through the requisite number of DT's needed to arrive the desired length of simulation SIMLEN. The process stops automatically when SIMLEN is reached, having sampled the time series generated at intervals defined by PER. This requires only a few seconds, after which control returns to Excel.
To run your first simulation, click on ‘Reinitiate’, then on ‘Plastic’, and then on 'Simulate Time'.
The ‘Graphs’ sheet contains the charts that record the simulation. These charts will typically need to have their vertical scales adjusted for the sake of a final presentation.
The ‘Series’ sheet records the time series data generated by an experiment.
The ‘Init’ sheet computes the model's equilibrium state variables and boundary conditions based on a hypothetical observation of physical rates of exchange. The model recurs to this sheet when the experimenter requests that the model be reinitiated.
</a:t>
          </a:r>
        </a:p>
      </xdr:txBody>
    </xdr:sp>
    <xdr:clientData/>
  </xdr:twoCellAnchor>
  <xdr:twoCellAnchor editAs="oneCell">
    <xdr:from>
      <xdr:col>0</xdr:col>
      <xdr:colOff>152400</xdr:colOff>
      <xdr:row>1</xdr:row>
      <xdr:rowOff>142875</xdr:rowOff>
    </xdr:from>
    <xdr:to>
      <xdr:col>1</xdr:col>
      <xdr:colOff>276225</xdr:colOff>
      <xdr:row>7</xdr:row>
      <xdr:rowOff>28575</xdr:rowOff>
    </xdr:to>
    <xdr:pic>
      <xdr:nvPicPr>
        <xdr:cNvPr id="2" name="Picture 3">
          <a:hlinkClick r:id="rId3"/>
        </xdr:cNvPr>
        <xdr:cNvPicPr preferRelativeResize="1">
          <a:picLocks noChangeAspect="1"/>
        </xdr:cNvPicPr>
      </xdr:nvPicPr>
      <xdr:blipFill>
        <a:blip r:embed="rId1"/>
        <a:stretch>
          <a:fillRect/>
        </a:stretch>
      </xdr:blipFill>
      <xdr:spPr>
        <a:xfrm>
          <a:off x="152400" y="304800"/>
          <a:ext cx="8096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114300</xdr:rowOff>
    </xdr:from>
    <xdr:to>
      <xdr:col>1</xdr:col>
      <xdr:colOff>409575</xdr:colOff>
      <xdr:row>7</xdr:row>
      <xdr:rowOff>85725</xdr:rowOff>
    </xdr:to>
    <xdr:sp>
      <xdr:nvSpPr>
        <xdr:cNvPr id="1" name="Rectangle 1"/>
        <xdr:cNvSpPr>
          <a:spLocks/>
        </xdr:cNvSpPr>
      </xdr:nvSpPr>
      <xdr:spPr>
        <a:xfrm>
          <a:off x="152400" y="285750"/>
          <a:ext cx="990600" cy="10001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0</xdr:col>
      <xdr:colOff>228600</xdr:colOff>
      <xdr:row>2</xdr:row>
      <xdr:rowOff>47625</xdr:rowOff>
    </xdr:from>
    <xdr:to>
      <xdr:col>1</xdr:col>
      <xdr:colOff>314325</xdr:colOff>
      <xdr:row>7</xdr:row>
      <xdr:rowOff>9525</xdr:rowOff>
    </xdr:to>
    <xdr:pic>
      <xdr:nvPicPr>
        <xdr:cNvPr id="2" name="Picture 2"/>
        <xdr:cNvPicPr preferRelativeResize="1">
          <a:picLocks noChangeAspect="1"/>
        </xdr:cNvPicPr>
      </xdr:nvPicPr>
      <xdr:blipFill>
        <a:blip r:embed="rId1"/>
        <a:stretch>
          <a:fillRect/>
        </a:stretch>
      </xdr:blipFill>
      <xdr:spPr>
        <a:xfrm>
          <a:off x="228600" y="390525"/>
          <a:ext cx="819150" cy="819150"/>
        </a:xfrm>
        <a:prstGeom prst="rect">
          <a:avLst/>
        </a:prstGeom>
        <a:noFill/>
        <a:ln w="9525" cmpd="sng">
          <a:noFill/>
        </a:ln>
      </xdr:spPr>
    </xdr:pic>
    <xdr:clientData/>
  </xdr:twoCellAnchor>
  <xdr:twoCellAnchor>
    <xdr:from>
      <xdr:col>15</xdr:col>
      <xdr:colOff>419100</xdr:colOff>
      <xdr:row>10</xdr:row>
      <xdr:rowOff>0</xdr:rowOff>
    </xdr:from>
    <xdr:to>
      <xdr:col>15</xdr:col>
      <xdr:colOff>419100</xdr:colOff>
      <xdr:row>96</xdr:row>
      <xdr:rowOff>95250</xdr:rowOff>
    </xdr:to>
    <xdr:sp>
      <xdr:nvSpPr>
        <xdr:cNvPr id="3" name="Line 3"/>
        <xdr:cNvSpPr>
          <a:spLocks/>
        </xdr:cNvSpPr>
      </xdr:nvSpPr>
      <xdr:spPr>
        <a:xfrm>
          <a:off x="8496300" y="1714500"/>
          <a:ext cx="0" cy="14839950"/>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43</xdr:col>
      <xdr:colOff>0</xdr:colOff>
      <xdr:row>84</xdr:row>
      <xdr:rowOff>28575</xdr:rowOff>
    </xdr:from>
    <xdr:to>
      <xdr:col>43</xdr:col>
      <xdr:colOff>0</xdr:colOff>
      <xdr:row>84</xdr:row>
      <xdr:rowOff>28575</xdr:rowOff>
    </xdr:to>
    <xdr:sp>
      <xdr:nvSpPr>
        <xdr:cNvPr id="4" name="Line 162"/>
        <xdr:cNvSpPr>
          <a:spLocks/>
        </xdr:cNvSpPr>
      </xdr:nvSpPr>
      <xdr:spPr>
        <a:xfrm>
          <a:off x="23250525" y="14430375"/>
          <a:ext cx="0" cy="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15</xdr:col>
      <xdr:colOff>419100</xdr:colOff>
      <xdr:row>9</xdr:row>
      <xdr:rowOff>152400</xdr:rowOff>
    </xdr:from>
    <xdr:to>
      <xdr:col>40</xdr:col>
      <xdr:colOff>352425</xdr:colOff>
      <xdr:row>9</xdr:row>
      <xdr:rowOff>152400</xdr:rowOff>
    </xdr:to>
    <xdr:sp>
      <xdr:nvSpPr>
        <xdr:cNvPr id="5" name="Line 167"/>
        <xdr:cNvSpPr>
          <a:spLocks/>
        </xdr:cNvSpPr>
      </xdr:nvSpPr>
      <xdr:spPr>
        <a:xfrm rot="16200000">
          <a:off x="8496300" y="1695450"/>
          <a:ext cx="13049250" cy="0"/>
        </a:xfrm>
        <a:prstGeom prst="line">
          <a:avLst/>
        </a:prstGeom>
        <a:noFill/>
        <a:ln w="9525" cmpd="sng">
          <a:solidFill>
            <a:srgbClr val="8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0.872</cdr:x>
      <cdr:y>0.9455</cdr:y>
    </cdr:from>
    <cdr:to>
      <cdr:x>0.872</cdr:x>
      <cdr:y>0.9455</cdr:y>
    </cdr:to>
    <cdr:sp>
      <cdr:nvSpPr>
        <cdr:cNvPr id="1" name="Text 1"/>
        <cdr:cNvSpPr txBox="1">
          <a:spLocks noChangeArrowheads="1"/>
        </cdr:cNvSpPr>
      </cdr:nvSpPr>
      <cdr:spPr>
        <a:xfrm>
          <a:off x="3952875" y="2905125"/>
          <a:ext cx="0" cy="0"/>
        </a:xfrm>
        <a:prstGeom prst="rect">
          <a:avLst/>
        </a:prstGeom>
        <a:solidFill>
          <a:srgbClr val="FFCC99"/>
        </a:solidFill>
        <a:ln w="9525" cmpd="sng">
          <a:noFill/>
        </a:ln>
      </cdr:spPr>
      <cdr:txBody>
        <a:bodyPr vertOverflow="clip" wrap="square" anchor="ctr"/>
        <a:p>
          <a:pPr algn="ctr">
            <a:defRPr/>
          </a:pPr>
          <a:r>
            <a:rPr lang="en-US" cap="none" sz="850" b="1" i="0" u="none" baseline="0"/>
            <a:t>year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24</xdr:row>
      <xdr:rowOff>66675</xdr:rowOff>
    </xdr:from>
    <xdr:to>
      <xdr:col>6</xdr:col>
      <xdr:colOff>619125</xdr:colOff>
      <xdr:row>43</xdr:row>
      <xdr:rowOff>28575</xdr:rowOff>
    </xdr:to>
    <xdr:graphicFrame>
      <xdr:nvGraphicFramePr>
        <xdr:cNvPr id="1" name="Chart 1"/>
        <xdr:cNvGraphicFramePr/>
      </xdr:nvGraphicFramePr>
      <xdr:xfrm>
        <a:off x="209550" y="4029075"/>
        <a:ext cx="4686300" cy="30384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171450</xdr:colOff>
      <xdr:row>24</xdr:row>
      <xdr:rowOff>57150</xdr:rowOff>
    </xdr:from>
    <xdr:to>
      <xdr:col>13</xdr:col>
      <xdr:colOff>485775</xdr:colOff>
      <xdr:row>43</xdr:row>
      <xdr:rowOff>57150</xdr:rowOff>
    </xdr:to>
    <xdr:graphicFrame>
      <xdr:nvGraphicFramePr>
        <xdr:cNvPr id="2" name="Chart 2"/>
        <xdr:cNvGraphicFramePr/>
      </xdr:nvGraphicFramePr>
      <xdr:xfrm>
        <a:off x="5133975" y="4019550"/>
        <a:ext cx="4429125" cy="3076575"/>
      </xdr:xfrm>
      <a:graphic>
        <a:graphicData uri="http://schemas.openxmlformats.org/drawingml/2006/chart">
          <c:chart xmlns:c="http://schemas.openxmlformats.org/drawingml/2006/chart" r:id="rId2"/>
        </a:graphicData>
      </a:graphic>
    </xdr:graphicFrame>
    <xdr:clientData/>
  </xdr:twoCellAnchor>
  <xdr:twoCellAnchor editAs="absolute">
    <xdr:from>
      <xdr:col>7</xdr:col>
      <xdr:colOff>85725</xdr:colOff>
      <xdr:row>5</xdr:row>
      <xdr:rowOff>123825</xdr:rowOff>
    </xdr:from>
    <xdr:to>
      <xdr:col>13</xdr:col>
      <xdr:colOff>504825</xdr:colOff>
      <xdr:row>24</xdr:row>
      <xdr:rowOff>123825</xdr:rowOff>
    </xdr:to>
    <xdr:graphicFrame>
      <xdr:nvGraphicFramePr>
        <xdr:cNvPr id="3" name="Chart 3"/>
        <xdr:cNvGraphicFramePr/>
      </xdr:nvGraphicFramePr>
      <xdr:xfrm>
        <a:off x="5048250" y="1009650"/>
        <a:ext cx="4533900" cy="3076575"/>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57150</xdr:colOff>
      <xdr:row>5</xdr:row>
      <xdr:rowOff>85725</xdr:rowOff>
    </xdr:from>
    <xdr:to>
      <xdr:col>6</xdr:col>
      <xdr:colOff>333375</xdr:colOff>
      <xdr:row>24</xdr:row>
      <xdr:rowOff>114300</xdr:rowOff>
    </xdr:to>
    <xdr:graphicFrame>
      <xdr:nvGraphicFramePr>
        <xdr:cNvPr id="4" name="Chart 6"/>
        <xdr:cNvGraphicFramePr/>
      </xdr:nvGraphicFramePr>
      <xdr:xfrm>
        <a:off x="57150" y="971550"/>
        <a:ext cx="4552950" cy="3105150"/>
      </xdr:xfrm>
      <a:graphic>
        <a:graphicData uri="http://schemas.openxmlformats.org/drawingml/2006/chart">
          <c:chart xmlns:c="http://schemas.openxmlformats.org/drawingml/2006/chart" r:id="rId4"/>
        </a:graphicData>
      </a:graphic>
    </xdr:graphicFrame>
    <xdr:clientData/>
  </xdr:twoCellAnchor>
  <xdr:twoCellAnchor>
    <xdr:from>
      <xdr:col>13</xdr:col>
      <xdr:colOff>581025</xdr:colOff>
      <xdr:row>1</xdr:row>
      <xdr:rowOff>0</xdr:rowOff>
    </xdr:from>
    <xdr:to>
      <xdr:col>15</xdr:col>
      <xdr:colOff>180975</xdr:colOff>
      <xdr:row>6</xdr:row>
      <xdr:rowOff>142875</xdr:rowOff>
    </xdr:to>
    <xdr:grpSp>
      <xdr:nvGrpSpPr>
        <xdr:cNvPr id="5" name="Group 21"/>
        <xdr:cNvGrpSpPr>
          <a:grpSpLocks/>
        </xdr:cNvGrpSpPr>
      </xdr:nvGrpSpPr>
      <xdr:grpSpPr>
        <a:xfrm>
          <a:off x="9658350" y="161925"/>
          <a:ext cx="971550" cy="1028700"/>
          <a:chOff x="41" y="9"/>
          <a:chExt cx="102" cy="94"/>
        </a:xfrm>
        <a:solidFill>
          <a:srgbClr val="FFFFFF"/>
        </a:solidFill>
      </xdr:grpSpPr>
      <xdr:sp>
        <xdr:nvSpPr>
          <xdr:cNvPr id="6" name="Rectangle 22"/>
          <xdr:cNvSpPr>
            <a:spLocks/>
          </xdr:cNvSpPr>
        </xdr:nvSpPr>
        <xdr:spPr>
          <a:xfrm>
            <a:off x="41" y="9"/>
            <a:ext cx="102" cy="94"/>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pic>
        <xdr:nvPicPr>
          <xdr:cNvPr id="7" name="Picture 23"/>
          <xdr:cNvPicPr preferRelativeResize="1">
            <a:picLocks noChangeAspect="1"/>
          </xdr:cNvPicPr>
        </xdr:nvPicPr>
        <xdr:blipFill>
          <a:blip r:embed="rId5"/>
          <a:stretch>
            <a:fillRect/>
          </a:stretch>
        </xdr:blipFill>
        <xdr:spPr>
          <a:xfrm>
            <a:off x="54" y="19"/>
            <a:ext cx="73" cy="7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123825</xdr:rowOff>
    </xdr:from>
    <xdr:to>
      <xdr:col>8</xdr:col>
      <xdr:colOff>314325</xdr:colOff>
      <xdr:row>21</xdr:row>
      <xdr:rowOff>38100</xdr:rowOff>
    </xdr:to>
    <xdr:sp>
      <xdr:nvSpPr>
        <xdr:cNvPr id="1" name="Rectangle 14"/>
        <xdr:cNvSpPr>
          <a:spLocks/>
        </xdr:cNvSpPr>
      </xdr:nvSpPr>
      <xdr:spPr>
        <a:xfrm>
          <a:off x="495300" y="800100"/>
          <a:ext cx="4362450" cy="28289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editAs="oneCell">
    <xdr:from>
      <xdr:col>24</xdr:col>
      <xdr:colOff>0</xdr:colOff>
      <xdr:row>54</xdr:row>
      <xdr:rowOff>76200</xdr:rowOff>
    </xdr:from>
    <xdr:to>
      <xdr:col>29</xdr:col>
      <xdr:colOff>361950</xdr:colOff>
      <xdr:row>57</xdr:row>
      <xdr:rowOff>133350</xdr:rowOff>
    </xdr:to>
    <xdr:pic>
      <xdr:nvPicPr>
        <xdr:cNvPr id="2" name="Picture 10" descr="Eqa01"/>
        <xdr:cNvPicPr preferRelativeResize="1">
          <a:picLocks noChangeAspect="1"/>
        </xdr:cNvPicPr>
      </xdr:nvPicPr>
      <xdr:blipFill>
        <a:blip r:embed="rId1"/>
        <a:stretch>
          <a:fillRect/>
        </a:stretch>
      </xdr:blipFill>
      <xdr:spPr>
        <a:xfrm>
          <a:off x="13277850" y="9324975"/>
          <a:ext cx="3790950" cy="571500"/>
        </a:xfrm>
        <a:prstGeom prst="rect">
          <a:avLst/>
        </a:prstGeom>
        <a:noFill/>
        <a:ln w="9525" cmpd="sng">
          <a:noFill/>
        </a:ln>
      </xdr:spPr>
    </xdr:pic>
    <xdr:clientData/>
  </xdr:twoCellAnchor>
  <xdr:twoCellAnchor editAs="oneCell">
    <xdr:from>
      <xdr:col>10</xdr:col>
      <xdr:colOff>533400</xdr:colOff>
      <xdr:row>53</xdr:row>
      <xdr:rowOff>0</xdr:rowOff>
    </xdr:from>
    <xdr:to>
      <xdr:col>20</xdr:col>
      <xdr:colOff>0</xdr:colOff>
      <xdr:row>57</xdr:row>
      <xdr:rowOff>142875</xdr:rowOff>
    </xdr:to>
    <xdr:pic>
      <xdr:nvPicPr>
        <xdr:cNvPr id="3" name="Picture 11" descr="Eqa13"/>
        <xdr:cNvPicPr preferRelativeResize="1">
          <a:picLocks noChangeAspect="1"/>
        </xdr:cNvPicPr>
      </xdr:nvPicPr>
      <xdr:blipFill>
        <a:blip r:embed="rId2"/>
        <a:stretch>
          <a:fillRect/>
        </a:stretch>
      </xdr:blipFill>
      <xdr:spPr>
        <a:xfrm>
          <a:off x="6000750" y="9077325"/>
          <a:ext cx="4533900" cy="828675"/>
        </a:xfrm>
        <a:prstGeom prst="rect">
          <a:avLst/>
        </a:prstGeom>
        <a:noFill/>
        <a:ln w="9525" cmpd="sng">
          <a:noFill/>
        </a:ln>
      </xdr:spPr>
    </xdr:pic>
    <xdr:clientData/>
  </xdr:twoCellAnchor>
  <xdr:twoCellAnchor editAs="oneCell">
    <xdr:from>
      <xdr:col>23</xdr:col>
      <xdr:colOff>238125</xdr:colOff>
      <xdr:row>2</xdr:row>
      <xdr:rowOff>66675</xdr:rowOff>
    </xdr:from>
    <xdr:to>
      <xdr:col>30</xdr:col>
      <xdr:colOff>114300</xdr:colOff>
      <xdr:row>22</xdr:row>
      <xdr:rowOff>0</xdr:rowOff>
    </xdr:to>
    <xdr:pic>
      <xdr:nvPicPr>
        <xdr:cNvPr id="4" name="Picture 12" descr="HYPER0"/>
        <xdr:cNvPicPr preferRelativeResize="1">
          <a:picLocks noChangeAspect="1"/>
        </xdr:cNvPicPr>
      </xdr:nvPicPr>
      <xdr:blipFill>
        <a:blip r:embed="rId3"/>
        <a:stretch>
          <a:fillRect/>
        </a:stretch>
      </xdr:blipFill>
      <xdr:spPr>
        <a:xfrm>
          <a:off x="12830175" y="400050"/>
          <a:ext cx="4676775" cy="3362325"/>
        </a:xfrm>
        <a:prstGeom prst="rect">
          <a:avLst/>
        </a:prstGeom>
        <a:noFill/>
        <a:ln w="9525" cmpd="sng">
          <a:noFill/>
        </a:ln>
      </xdr:spPr>
    </xdr:pic>
    <xdr:clientData/>
  </xdr:twoCellAnchor>
  <xdr:twoCellAnchor editAs="oneCell">
    <xdr:from>
      <xdr:col>23</xdr:col>
      <xdr:colOff>342900</xdr:colOff>
      <xdr:row>24</xdr:row>
      <xdr:rowOff>95250</xdr:rowOff>
    </xdr:from>
    <xdr:to>
      <xdr:col>30</xdr:col>
      <xdr:colOff>390525</xdr:colOff>
      <xdr:row>50</xdr:row>
      <xdr:rowOff>114300</xdr:rowOff>
    </xdr:to>
    <xdr:pic>
      <xdr:nvPicPr>
        <xdr:cNvPr id="5" name="Picture 56"/>
        <xdr:cNvPicPr preferRelativeResize="1">
          <a:picLocks noChangeAspect="1"/>
        </xdr:cNvPicPr>
      </xdr:nvPicPr>
      <xdr:blipFill>
        <a:blip r:embed="rId4"/>
        <a:stretch>
          <a:fillRect/>
        </a:stretch>
      </xdr:blipFill>
      <xdr:spPr>
        <a:xfrm>
          <a:off x="12934950" y="4200525"/>
          <a:ext cx="4848225" cy="447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fecon.com/Downloadables/sheets/Heterodox/01%20Lamda\2%20LmdaL\Z2Z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InitX2"/>
      <sheetName val="X2X2"/>
      <sheetName val="VIEW"/>
      <sheetName val="SERIES"/>
      <sheetName val="Sheet3"/>
      <sheetName val="Sheet2"/>
      <sheetName val="Sheet1"/>
      <sheetName val="Module1"/>
      <sheetName val="Module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1">
    <pageSetUpPr fitToPage="1"/>
  </sheetPr>
  <dimension ref="A1:AX116"/>
  <sheetViews>
    <sheetView showGridLines="0" workbookViewId="0" topLeftCell="A1">
      <pane xSplit="3" topLeftCell="D1" activePane="topRight" state="frozen"/>
      <selection pane="topLeft" activeCell="A1" sqref="A1"/>
      <selection pane="topRight" activeCell="C29" sqref="C29"/>
    </sheetView>
  </sheetViews>
  <sheetFormatPr defaultColWidth="9.625" defaultRowHeight="12.75"/>
  <cols>
    <col min="1" max="2" width="9.625" style="71" customWidth="1"/>
    <col min="3" max="3" width="2.25390625" style="71" customWidth="1"/>
    <col min="4" max="5" width="9.00390625" style="0" customWidth="1"/>
    <col min="6" max="6" width="3.125" style="0" customWidth="1"/>
    <col min="7" max="7" width="9.00390625" style="0" customWidth="1"/>
    <col min="8" max="8" width="3.125" style="0" customWidth="1"/>
    <col min="9" max="9" width="9.00390625" style="0" customWidth="1"/>
    <col min="10" max="10" width="3.125" style="0" customWidth="1"/>
    <col min="11" max="13" width="9.00390625" style="0" customWidth="1"/>
    <col min="14" max="14" width="3.125" style="0" customWidth="1"/>
    <col min="15" max="17" width="9.00390625" style="0" customWidth="1"/>
    <col min="18" max="18" width="3.125" style="0" customWidth="1"/>
    <col min="19" max="19" width="9.00390625" style="0" customWidth="1"/>
    <col min="20" max="20" width="3.125" style="0" customWidth="1"/>
    <col min="21" max="23" width="9.00390625" style="0" customWidth="1"/>
    <col min="24" max="24" width="3.125" style="0" customWidth="1"/>
    <col min="25" max="25" width="9.00390625" style="0" customWidth="1"/>
    <col min="26" max="26" width="3.125" style="0" customWidth="1"/>
    <col min="27" max="29" width="9.00390625" style="0" customWidth="1"/>
    <col min="30" max="30" width="3.125" style="0" customWidth="1"/>
    <col min="31" max="31" width="9.00390625" style="0" customWidth="1"/>
    <col min="32" max="32" width="3.125" style="0" customWidth="1"/>
    <col min="33" max="35" width="9.00390625" style="0" customWidth="1"/>
    <col min="36" max="36" width="3.125" style="0" customWidth="1"/>
    <col min="37" max="37" width="9.00390625" style="0" customWidth="1"/>
    <col min="38" max="38" width="3.125" style="0" customWidth="1"/>
    <col min="39" max="39" width="9.00390625" style="0" customWidth="1"/>
    <col min="40" max="40" width="3.125" style="0" customWidth="1"/>
    <col min="41" max="45" width="9.00390625" style="0" customWidth="1"/>
  </cols>
  <sheetData>
    <row r="1" spans="1:44" ht="13.5" customHeight="1">
      <c r="A1" s="72"/>
      <c r="B1" s="72"/>
      <c r="C1" s="72"/>
      <c r="N1" s="19"/>
      <c r="R1" s="19"/>
      <c r="S1" s="19"/>
      <c r="T1" s="19"/>
      <c r="U1" s="19"/>
      <c r="V1" s="19"/>
      <c r="W1" s="19"/>
      <c r="X1" s="19"/>
      <c r="Y1" s="19"/>
      <c r="Z1" s="19"/>
      <c r="AA1" s="19"/>
      <c r="AB1" s="19"/>
      <c r="AC1" s="19"/>
      <c r="AD1" s="19"/>
      <c r="AE1" s="19"/>
      <c r="AN1" s="19"/>
      <c r="AO1" s="19"/>
      <c r="AP1" s="19"/>
      <c r="AQ1" s="19"/>
      <c r="AR1" s="41"/>
    </row>
    <row r="2" spans="1:49" ht="13.5" customHeight="1">
      <c r="A2" s="72"/>
      <c r="B2" s="72"/>
      <c r="C2" s="72"/>
      <c r="E2" s="19"/>
      <c r="F2" s="19"/>
      <c r="G2" s="19"/>
      <c r="H2" s="19"/>
      <c r="I2" s="19"/>
      <c r="J2" s="19"/>
      <c r="K2" s="19"/>
      <c r="L2" s="19"/>
      <c r="N2" s="19"/>
      <c r="P2" s="194"/>
      <c r="Q2" s="194"/>
      <c r="R2" s="194"/>
      <c r="S2" s="194"/>
      <c r="T2" s="194"/>
      <c r="U2" s="194"/>
      <c r="V2" s="194"/>
      <c r="W2" s="194"/>
      <c r="X2" s="194"/>
      <c r="Y2" s="194"/>
      <c r="Z2" s="194"/>
      <c r="AA2" s="194"/>
      <c r="AB2" s="194"/>
      <c r="AC2" s="194"/>
      <c r="AD2" s="19"/>
      <c r="AE2" s="194"/>
      <c r="AN2" s="19"/>
      <c r="AO2" s="19"/>
      <c r="AP2" s="19"/>
      <c r="AQ2" s="19"/>
      <c r="AR2" s="41"/>
      <c r="AW2" s="19"/>
    </row>
    <row r="3" spans="1:44" ht="13.5" customHeight="1">
      <c r="A3" s="72"/>
      <c r="B3" s="72"/>
      <c r="C3" s="72"/>
      <c r="D3" s="19"/>
      <c r="F3" s="19"/>
      <c r="G3" s="19"/>
      <c r="H3" s="19"/>
      <c r="AN3" s="19"/>
      <c r="AR3" s="41"/>
    </row>
    <row r="4" spans="1:42" s="19" customFormat="1" ht="13.5" customHeight="1" thickBot="1">
      <c r="A4" s="72"/>
      <c r="B4" s="72"/>
      <c r="C4" s="72"/>
      <c r="D4"/>
      <c r="G4" s="379" t="s">
        <v>190</v>
      </c>
      <c r="O4"/>
      <c r="P4" s="194"/>
      <c r="Q4" s="194"/>
      <c r="R4"/>
      <c r="S4" s="194"/>
      <c r="T4" s="265"/>
      <c r="U4" s="194"/>
      <c r="V4" s="194"/>
      <c r="W4" s="194"/>
      <c r="X4" s="194"/>
      <c r="Y4" s="194"/>
      <c r="Z4"/>
      <c r="AA4"/>
      <c r="AB4"/>
      <c r="AD4" s="194"/>
      <c r="AE4" s="194"/>
      <c r="AG4" s="73"/>
      <c r="AH4" s="338">
        <f>-SUM(AH6:AH8)</f>
        <v>-12807.534857531022</v>
      </c>
      <c r="AI4" s="339">
        <f>-SUM(AI6:AI8)</f>
        <v>-25653.309968319678</v>
      </c>
      <c r="AP4" s="41"/>
    </row>
    <row r="5" spans="1:46" s="19" customFormat="1" ht="13.5" customHeight="1">
      <c r="A5" s="72"/>
      <c r="B5" s="72"/>
      <c r="C5" s="72"/>
      <c r="Q5" s="194"/>
      <c r="T5" s="46" t="s">
        <v>59</v>
      </c>
      <c r="U5" s="13" t="s">
        <v>1</v>
      </c>
      <c r="V5" s="24" t="s">
        <v>17</v>
      </c>
      <c r="W5" s="24" t="s">
        <v>2</v>
      </c>
      <c r="AD5" s="194"/>
      <c r="AF5" s="46" t="s">
        <v>54</v>
      </c>
      <c r="AG5" s="13" t="s">
        <v>1</v>
      </c>
      <c r="AH5" s="24" t="s">
        <v>17</v>
      </c>
      <c r="AI5" s="24" t="s">
        <v>2</v>
      </c>
      <c r="AJ5" s="291" t="s">
        <v>89</v>
      </c>
      <c r="AK5" s="127" t="s">
        <v>58</v>
      </c>
      <c r="AM5" s="401" t="s">
        <v>58</v>
      </c>
      <c r="AP5" s="41"/>
      <c r="AT5"/>
    </row>
    <row r="6" spans="1:40" s="19" customFormat="1" ht="13.5" customHeight="1">
      <c r="A6" s="72"/>
      <c r="B6" s="136"/>
      <c r="C6" s="72"/>
      <c r="Q6" s="194"/>
      <c r="S6" s="132"/>
      <c r="T6" s="13" t="s">
        <v>1</v>
      </c>
      <c r="U6" s="133"/>
      <c r="V6" s="134">
        <f aca="true" t="shared" si="0" ref="V6:W8">SIGN(AH18)</f>
        <v>1</v>
      </c>
      <c r="W6" s="135">
        <f t="shared" si="0"/>
        <v>0</v>
      </c>
      <c r="X6" s="13" t="s">
        <v>1</v>
      </c>
      <c r="Y6" s="132"/>
      <c r="AD6" s="194"/>
      <c r="AE6" s="306" t="s">
        <v>127</v>
      </c>
      <c r="AF6" s="13" t="s">
        <v>1</v>
      </c>
      <c r="AG6" s="346"/>
      <c r="AH6" s="129">
        <v>6903.132058146178</v>
      </c>
      <c r="AI6" s="130">
        <v>8766</v>
      </c>
      <c r="AJ6" s="13" t="s">
        <v>1</v>
      </c>
      <c r="AK6" s="131">
        <f>Y18+AK18</f>
        <v>-305775.1128881616</v>
      </c>
      <c r="AM6" s="294">
        <f>Init!E34</f>
        <v>-316172.557204648</v>
      </c>
      <c r="AN6" s="256" t="s">
        <v>1</v>
      </c>
    </row>
    <row r="7" spans="1:40" s="19" customFormat="1" ht="13.5" customHeight="1">
      <c r="A7" s="72"/>
      <c r="B7" s="72"/>
      <c r="C7" s="72"/>
      <c r="G7" s="272" t="s">
        <v>11</v>
      </c>
      <c r="I7" s="314" t="s">
        <v>173</v>
      </c>
      <c r="J7" s="314"/>
      <c r="K7" s="13" t="s">
        <v>1</v>
      </c>
      <c r="L7" s="24" t="s">
        <v>17</v>
      </c>
      <c r="M7" s="24" t="s">
        <v>2</v>
      </c>
      <c r="Q7" s="194"/>
      <c r="S7" s="142">
        <f>V6-U7</f>
        <v>3</v>
      </c>
      <c r="T7" s="24" t="s">
        <v>17</v>
      </c>
      <c r="U7" s="132">
        <f>-SUM(V7:W7)</f>
        <v>-2</v>
      </c>
      <c r="V7" s="143">
        <f t="shared" si="0"/>
        <v>1</v>
      </c>
      <c r="W7" s="144">
        <f t="shared" si="0"/>
        <v>1</v>
      </c>
      <c r="X7" s="24" t="s">
        <v>17</v>
      </c>
      <c r="Y7" s="288">
        <f>1/(1-U7)</f>
        <v>0.3333333333333333</v>
      </c>
      <c r="AD7" s="194"/>
      <c r="AE7" s="306" t="s">
        <v>167</v>
      </c>
      <c r="AF7" s="24" t="s">
        <v>17</v>
      </c>
      <c r="AG7" s="138"/>
      <c r="AH7" s="139">
        <v>5647.776527594292</v>
      </c>
      <c r="AI7" s="140">
        <v>27306.045448007684</v>
      </c>
      <c r="AJ7" s="24" t="s">
        <v>17</v>
      </c>
      <c r="AK7" s="141">
        <f>AH6</f>
        <v>6903.132058146178</v>
      </c>
      <c r="AM7" s="389">
        <f>Init!F34</f>
        <v>6767.776527594292</v>
      </c>
      <c r="AN7" s="257" t="s">
        <v>17</v>
      </c>
    </row>
    <row r="8" spans="1:40" s="19" customFormat="1" ht="13.5" customHeight="1" thickBot="1">
      <c r="A8" s="72"/>
      <c r="B8" s="72"/>
      <c r="C8" s="72"/>
      <c r="G8" s="271">
        <f>-I47</f>
        <v>-0.10704467898534098</v>
      </c>
      <c r="I8" s="271">
        <f>(1-1/NPV)/Term</f>
        <v>-0.1385078941348266</v>
      </c>
      <c r="K8" s="363">
        <v>1</v>
      </c>
      <c r="L8" s="145">
        <v>0.3333333333333333</v>
      </c>
      <c r="M8" s="146">
        <v>1</v>
      </c>
      <c r="O8" s="359" t="s">
        <v>183</v>
      </c>
      <c r="Q8" s="194"/>
      <c r="S8" s="152">
        <f>W8-U8</f>
        <v>0</v>
      </c>
      <c r="T8" s="24" t="s">
        <v>2</v>
      </c>
      <c r="U8" s="153">
        <f>-V8</f>
        <v>-1</v>
      </c>
      <c r="V8" s="154">
        <f t="shared" si="0"/>
        <v>1</v>
      </c>
      <c r="W8" s="155">
        <f t="shared" si="0"/>
        <v>-1</v>
      </c>
      <c r="X8" s="24" t="s">
        <v>2</v>
      </c>
      <c r="Y8" s="289">
        <f>1/(1-U8)</f>
        <v>0.5</v>
      </c>
      <c r="AD8" s="194"/>
      <c r="AE8" s="307" t="s">
        <v>168</v>
      </c>
      <c r="AF8" s="24" t="s">
        <v>2</v>
      </c>
      <c r="AG8" s="148"/>
      <c r="AH8" s="149">
        <v>256.6262717905515</v>
      </c>
      <c r="AI8" s="150">
        <f>Zl</f>
        <v>-10418.735479688012</v>
      </c>
      <c r="AJ8" s="24" t="s">
        <v>2</v>
      </c>
      <c r="AK8" s="151">
        <f>M8*M44</f>
        <v>-10418.735479688012</v>
      </c>
      <c r="AL8" s="358" t="s">
        <v>189</v>
      </c>
      <c r="AM8" s="389">
        <f>Init!G36</f>
        <v>-10383.361156114315</v>
      </c>
      <c r="AN8" s="257" t="s">
        <v>2</v>
      </c>
    </row>
    <row r="9" spans="1:30" s="19" customFormat="1" ht="13.5" customHeight="1">
      <c r="A9" s="72"/>
      <c r="B9" s="72"/>
      <c r="C9" s="72"/>
      <c r="G9" s="390">
        <f>Init!M19</f>
        <v>-0.1</v>
      </c>
      <c r="I9" s="390">
        <f>Init!O19</f>
        <v>-0.13553101428571446</v>
      </c>
      <c r="J9" s="13"/>
      <c r="K9" s="316" t="s">
        <v>163</v>
      </c>
      <c r="O9" s="366"/>
      <c r="P9" s="194"/>
      <c r="Q9" s="194"/>
      <c r="S9" s="156" t="s">
        <v>60</v>
      </c>
      <c r="U9" s="157" t="s">
        <v>79</v>
      </c>
      <c r="Y9" s="46" t="s">
        <v>97</v>
      </c>
      <c r="AD9" s="194"/>
    </row>
    <row r="10" spans="1:41" s="19" customFormat="1" ht="13.5" customHeight="1">
      <c r="A10" s="72"/>
      <c r="B10" s="72"/>
      <c r="C10" s="72"/>
      <c r="AO10" s="158"/>
    </row>
    <row r="11" spans="1:3" s="19" customFormat="1" ht="13.5" customHeight="1">
      <c r="A11" s="72"/>
      <c r="B11" s="72"/>
      <c r="C11" s="72"/>
    </row>
    <row r="12" spans="1:32" s="19" customFormat="1" ht="13.5" customHeight="1">
      <c r="A12" s="72"/>
      <c r="B12" s="72"/>
      <c r="C12" s="72"/>
      <c r="S12" s="41"/>
      <c r="T12" s="41"/>
      <c r="U12" s="41"/>
      <c r="V12" s="41"/>
      <c r="W12" s="41"/>
      <c r="AE12" s="41"/>
      <c r="AF12" s="208" t="s">
        <v>72</v>
      </c>
    </row>
    <row r="13" spans="1:35" s="19" customFormat="1" ht="13.5" customHeight="1" thickBot="1">
      <c r="A13" s="72"/>
      <c r="B13" s="72"/>
      <c r="C13" s="72"/>
      <c r="G13" s="409">
        <f>-SUM(G18:G20)</f>
        <v>0</v>
      </c>
      <c r="I13" s="409">
        <f>-SUM(I18:I20)</f>
        <v>0</v>
      </c>
      <c r="K13" s="347">
        <f>-K16-SUM(K18:K20)</f>
        <v>0</v>
      </c>
      <c r="L13" s="192">
        <f>-L16-SUM(L18:L20)</f>
        <v>0</v>
      </c>
      <c r="M13" s="49">
        <f>-M16-SUM(M18:M20)</f>
        <v>0</v>
      </c>
      <c r="O13" s="359" t="s">
        <v>180</v>
      </c>
      <c r="S13" s="124">
        <f>-SUM(S18:S20)</f>
        <v>0</v>
      </c>
      <c r="U13" s="347">
        <f>-U16-SUM(U18:U20)</f>
        <v>0</v>
      </c>
      <c r="V13" s="192">
        <f>-V16-SUM(V18:V20)</f>
        <v>0</v>
      </c>
      <c r="W13" s="49">
        <f>-W16-SUM(W18:W20)</f>
        <v>0</v>
      </c>
      <c r="X13" s="125" t="s">
        <v>161</v>
      </c>
      <c r="AE13" s="159">
        <f>SUM(AE54:AE55)</f>
        <v>1896981.9142399281</v>
      </c>
      <c r="AF13" s="193" t="s">
        <v>73</v>
      </c>
      <c r="AG13" s="383">
        <f>SUM(U54:U55)</f>
        <v>-537488.7117543261</v>
      </c>
      <c r="AH13" s="192">
        <f>SUM(AH7:AH8)</f>
        <v>5904.402799384843</v>
      </c>
      <c r="AI13" s="197">
        <f>AI7</f>
        <v>27306.045448007684</v>
      </c>
    </row>
    <row r="14" spans="1:35" s="163" customFormat="1" ht="13.5" customHeight="1">
      <c r="A14" s="72"/>
      <c r="B14" s="72"/>
      <c r="C14" s="72"/>
      <c r="K14" s="13" t="s">
        <v>1</v>
      </c>
      <c r="L14" s="24" t="s">
        <v>17</v>
      </c>
      <c r="M14" s="24" t="s">
        <v>2</v>
      </c>
      <c r="N14" s="19"/>
      <c r="O14" s="19"/>
      <c r="U14" s="13" t="s">
        <v>1</v>
      </c>
      <c r="V14" s="24" t="s">
        <v>17</v>
      </c>
      <c r="W14" s="24" t="s">
        <v>2</v>
      </c>
      <c r="X14" s="125" t="s">
        <v>162</v>
      </c>
      <c r="AE14" s="41"/>
      <c r="AF14" s="19"/>
      <c r="AG14" s="13" t="s">
        <v>1</v>
      </c>
      <c r="AH14" s="24" t="s">
        <v>17</v>
      </c>
      <c r="AI14" s="24" t="s">
        <v>2</v>
      </c>
    </row>
    <row r="15" spans="1:42" s="19" customFormat="1" ht="13.5" customHeight="1">
      <c r="A15" s="72"/>
      <c r="B15" s="72"/>
      <c r="C15" s="72"/>
      <c r="K15" s="290"/>
      <c r="X15" s="158"/>
      <c r="Y15" s="158"/>
      <c r="Z15" s="158"/>
      <c r="AB15" s="158"/>
      <c r="AC15" s="158"/>
      <c r="AD15"/>
      <c r="AE15" s="158"/>
      <c r="AF15" s="158"/>
      <c r="AG15" s="158"/>
      <c r="AH15" s="158"/>
      <c r="AI15" s="158"/>
      <c r="AJ15" s="158"/>
      <c r="AK15" s="158"/>
      <c r="AL15" s="158"/>
      <c r="AN15" s="158"/>
      <c r="AP15" s="317"/>
    </row>
    <row r="16" spans="1:42" s="19" customFormat="1" ht="13.5" customHeight="1" thickBot="1">
      <c r="A16" s="72"/>
      <c r="B16" s="72"/>
      <c r="C16" s="72"/>
      <c r="D16" s="163"/>
      <c r="K16" s="326">
        <f>K23+K30+K37</f>
        <v>0</v>
      </c>
      <c r="L16" s="21">
        <f>L23+L30+L37</f>
        <v>0</v>
      </c>
      <c r="M16" s="49">
        <f>M23+M30+M37</f>
        <v>0</v>
      </c>
      <c r="S16" s="163"/>
      <c r="U16" s="326">
        <f>V0*K16</f>
        <v>0</v>
      </c>
      <c r="V16" s="21">
        <f>L$8*L16</f>
        <v>0</v>
      </c>
      <c r="W16" s="49">
        <f>M$8*M16</f>
        <v>0</v>
      </c>
      <c r="X16" s="194"/>
      <c r="AA16" s="158"/>
      <c r="AE16" s="163"/>
      <c r="AG16" s="326">
        <f>U51+U16</f>
        <v>843263.8248305968</v>
      </c>
      <c r="AH16" s="21">
        <f>AH4+V16</f>
        <v>-12807.534857531022</v>
      </c>
      <c r="AI16" s="49">
        <f>AI4+W16</f>
        <v>-25653.309968319678</v>
      </c>
      <c r="AP16" s="318"/>
    </row>
    <row r="17" spans="1:45" s="19" customFormat="1" ht="13.5" customHeight="1">
      <c r="A17" s="72"/>
      <c r="B17" s="72"/>
      <c r="C17" s="72"/>
      <c r="G17" s="268" t="s">
        <v>98</v>
      </c>
      <c r="I17" s="268" t="s">
        <v>91</v>
      </c>
      <c r="K17" s="53">
        <v>0</v>
      </c>
      <c r="L17" s="24" t="s">
        <v>17</v>
      </c>
      <c r="M17" s="24" t="s">
        <v>2</v>
      </c>
      <c r="S17" s="195" t="s">
        <v>61</v>
      </c>
      <c r="T17" s="46" t="s">
        <v>81</v>
      </c>
      <c r="U17" s="13" t="s">
        <v>1</v>
      </c>
      <c r="V17" s="24" t="s">
        <v>17</v>
      </c>
      <c r="W17" s="24" t="s">
        <v>2</v>
      </c>
      <c r="Y17" s="127" t="s">
        <v>62</v>
      </c>
      <c r="Z17" s="163"/>
      <c r="AA17" s="163"/>
      <c r="AB17" s="163"/>
      <c r="AC17" s="163"/>
      <c r="AE17" s="126" t="s">
        <v>65</v>
      </c>
      <c r="AF17" s="156" t="s">
        <v>83</v>
      </c>
      <c r="AG17" s="13" t="s">
        <v>1</v>
      </c>
      <c r="AH17" s="24" t="s">
        <v>17</v>
      </c>
      <c r="AI17" s="24" t="s">
        <v>2</v>
      </c>
      <c r="AK17" s="162" t="s">
        <v>66</v>
      </c>
      <c r="AL17" s="163"/>
      <c r="AM17" s="400" t="s">
        <v>169</v>
      </c>
      <c r="AN17" s="381"/>
      <c r="AO17" s="163"/>
      <c r="AP17" s="163"/>
      <c r="AS17" s="163"/>
    </row>
    <row r="18" spans="1:40" s="19" customFormat="1" ht="13.5" customHeight="1">
      <c r="A18" s="72"/>
      <c r="B18" s="72"/>
      <c r="C18" s="72"/>
      <c r="F18" s="13" t="s">
        <v>1</v>
      </c>
      <c r="G18" s="128">
        <f>-SUM(G19:G20)</f>
        <v>-82435.12623958813</v>
      </c>
      <c r="I18" s="128">
        <f>-SUM(I19:I20)</f>
        <v>63709.304661314585</v>
      </c>
      <c r="J18" s="13" t="s">
        <v>1</v>
      </c>
      <c r="K18" s="346">
        <f aca="true" t="shared" si="1" ref="K18:M20">K25+K32+K39</f>
        <v>59285.714285714275</v>
      </c>
      <c r="L18" s="164">
        <f t="shared" si="1"/>
        <v>-2611.8866805651455</v>
      </c>
      <c r="M18" s="165">
        <f t="shared" si="1"/>
        <v>-8766</v>
      </c>
      <c r="N18" s="13" t="s">
        <v>1</v>
      </c>
      <c r="Q18" s="166"/>
      <c r="S18" s="303">
        <f>Nu*G18+I8*I18</f>
        <v>0</v>
      </c>
      <c r="T18" s="13" t="s">
        <v>1</v>
      </c>
      <c r="U18" s="346">
        <f>V0*K18</f>
        <v>59285.714285714275</v>
      </c>
      <c r="V18" s="164">
        <f aca="true" t="shared" si="2" ref="V18:W20">L$8*L18</f>
        <v>-870.6288935217151</v>
      </c>
      <c r="W18" s="165">
        <f t="shared" si="2"/>
        <v>-8766</v>
      </c>
      <c r="X18" s="13" t="s">
        <v>1</v>
      </c>
      <c r="Y18" s="131">
        <f>U40</f>
        <v>-59285.714285714275</v>
      </c>
      <c r="AA18" s="402">
        <f>-Init!E10</f>
        <v>-59285.714285714275</v>
      </c>
      <c r="AB18" s="309"/>
      <c r="AE18" s="167">
        <f>AE53+S18</f>
        <v>-1896981.9142399281</v>
      </c>
      <c r="AF18" s="13" t="s">
        <v>1</v>
      </c>
      <c r="AG18" s="171">
        <f>AK18</f>
        <v>-246489.39860244733</v>
      </c>
      <c r="AH18" s="172">
        <f>AK19</f>
        <v>6032.503158282979</v>
      </c>
      <c r="AI18" s="165"/>
      <c r="AJ18" s="13" t="s">
        <v>1</v>
      </c>
      <c r="AK18" s="131">
        <f>-V47*AK19-W47*AK20</f>
        <v>-246489.39860244733</v>
      </c>
      <c r="AM18" s="294"/>
      <c r="AN18" s="256" t="s">
        <v>1</v>
      </c>
    </row>
    <row r="19" spans="1:40" s="19" customFormat="1" ht="13.5" customHeight="1">
      <c r="A19" s="72"/>
      <c r="B19" s="72"/>
      <c r="C19" s="72"/>
      <c r="E19" s="319" t="s">
        <v>175</v>
      </c>
      <c r="F19" s="13" t="s">
        <v>17</v>
      </c>
      <c r="G19" s="137">
        <f>G26</f>
        <v>82435.12623958813</v>
      </c>
      <c r="I19" s="137"/>
      <c r="J19" s="24" t="s">
        <v>17</v>
      </c>
      <c r="K19" s="327">
        <f t="shared" si="1"/>
        <v>-36644.81957107235</v>
      </c>
      <c r="L19" s="173">
        <f t="shared" si="1"/>
        <v>1154.1798733580056</v>
      </c>
      <c r="M19" s="174">
        <f t="shared" si="1"/>
        <v>1948.0974859197017</v>
      </c>
      <c r="N19" s="24" t="s">
        <v>17</v>
      </c>
      <c r="O19" s="359" t="s">
        <v>178</v>
      </c>
      <c r="Q19" s="273" t="s">
        <v>92</v>
      </c>
      <c r="S19" s="274">
        <f>Nu*G19+I8*I19</f>
        <v>-8824.24162543277</v>
      </c>
      <c r="T19" s="24" t="s">
        <v>17</v>
      </c>
      <c r="U19" s="327">
        <f>V0*K19</f>
        <v>-36644.81957107235</v>
      </c>
      <c r="V19" s="176">
        <f t="shared" si="2"/>
        <v>384.7266244526685</v>
      </c>
      <c r="W19" s="174">
        <f t="shared" si="2"/>
        <v>1948.0974859197017</v>
      </c>
      <c r="X19" s="24" t="s">
        <v>17</v>
      </c>
      <c r="Y19" s="141">
        <f>AK7-AK19</f>
        <v>870.628899863199</v>
      </c>
      <c r="Z19" s="309" t="s">
        <v>132</v>
      </c>
      <c r="AA19" s="309"/>
      <c r="AC19" s="321" t="s">
        <v>146</v>
      </c>
      <c r="AD19" s="330" t="s">
        <v>140</v>
      </c>
      <c r="AE19" s="175">
        <f>AE54+S19</f>
        <v>1896981.9142333767</v>
      </c>
      <c r="AF19" s="24" t="s">
        <v>17</v>
      </c>
      <c r="AG19" s="360">
        <f>U54+U19</f>
        <v>-562175.883127059</v>
      </c>
      <c r="AH19" s="176">
        <f>AH7+V19</f>
        <v>6032.50315204696</v>
      </c>
      <c r="AI19" s="174">
        <f>AI7+W19</f>
        <v>29254.142933927385</v>
      </c>
      <c r="AJ19" s="24" t="s">
        <v>17</v>
      </c>
      <c r="AK19" s="141">
        <f>AK7*Y26</f>
        <v>6032.503158282979</v>
      </c>
      <c r="AL19" s="163"/>
      <c r="AM19" s="389">
        <f>AE19/S7</f>
        <v>632327.3047444589</v>
      </c>
      <c r="AN19" s="257" t="s">
        <v>17</v>
      </c>
    </row>
    <row r="20" spans="1:40" s="19" customFormat="1" ht="13.5" customHeight="1" thickBot="1">
      <c r="A20" s="72"/>
      <c r="B20" s="72"/>
      <c r="C20" s="72"/>
      <c r="E20" s="320" t="s">
        <v>176</v>
      </c>
      <c r="F20" s="13" t="s">
        <v>2</v>
      </c>
      <c r="G20" s="147"/>
      <c r="I20" s="147">
        <f>I27+I34+I41</f>
        <v>-63709.304661314585</v>
      </c>
      <c r="J20" s="24" t="s">
        <v>2</v>
      </c>
      <c r="K20" s="328">
        <f t="shared" si="1"/>
        <v>-22640.894714641927</v>
      </c>
      <c r="L20" s="182">
        <f t="shared" si="1"/>
        <v>1457.7068072071388</v>
      </c>
      <c r="M20" s="183">
        <f t="shared" si="1"/>
        <v>6817.902514080297</v>
      </c>
      <c r="N20" s="24" t="s">
        <v>2</v>
      </c>
      <c r="O20" s="358" t="s">
        <v>179</v>
      </c>
      <c r="Q20" s="184"/>
      <c r="S20" s="250">
        <f>Nu*G20+I8*I20</f>
        <v>8824.241625432775</v>
      </c>
      <c r="T20" s="24" t="s">
        <v>2</v>
      </c>
      <c r="U20" s="328">
        <f>V0*K20</f>
        <v>-22640.894714641927</v>
      </c>
      <c r="V20" s="182">
        <f t="shared" si="2"/>
        <v>485.90226906904627</v>
      </c>
      <c r="W20" s="183">
        <f t="shared" si="2"/>
        <v>6817.902514080297</v>
      </c>
      <c r="X20" s="24" t="s">
        <v>2</v>
      </c>
      <c r="Y20" s="185">
        <f>AK8-AK20</f>
        <v>-6817.902520689547</v>
      </c>
      <c r="Z20" s="370" t="s">
        <v>164</v>
      </c>
      <c r="AA20" s="315" t="s">
        <v>165</v>
      </c>
      <c r="AE20" s="147">
        <f>AE55+S20</f>
        <v>6.551343176397495E-06</v>
      </c>
      <c r="AF20" s="24" t="s">
        <v>2</v>
      </c>
      <c r="AG20" s="357">
        <f>U55+U20</f>
        <v>-34598.54291298142</v>
      </c>
      <c r="AH20" s="182">
        <f>AH8+V20</f>
        <v>742.5285408595978</v>
      </c>
      <c r="AI20" s="190">
        <f>AK20</f>
        <v>-3600.832958998465</v>
      </c>
      <c r="AJ20" s="24" t="s">
        <v>2</v>
      </c>
      <c r="AK20" s="185">
        <f>AK8*Y27</f>
        <v>-3600.832958998465</v>
      </c>
      <c r="AM20" s="293"/>
      <c r="AN20" s="257" t="s">
        <v>2</v>
      </c>
    </row>
    <row r="21" spans="1:40" s="19" customFormat="1" ht="13.5" customHeight="1">
      <c r="A21" s="72"/>
      <c r="B21" s="72"/>
      <c r="C21" s="72"/>
      <c r="G21" s="290" t="s">
        <v>100</v>
      </c>
      <c r="I21" s="276" t="s">
        <v>101</v>
      </c>
      <c r="K21" s="191"/>
      <c r="L21" s="191"/>
      <c r="M21" s="191"/>
      <c r="O21" s="269"/>
      <c r="U21" s="325" t="s">
        <v>147</v>
      </c>
      <c r="AB21" s="184"/>
      <c r="AM21" s="381"/>
      <c r="AN21" s="381"/>
    </row>
    <row r="22" spans="1:40" s="19" customFormat="1" ht="13.5" customHeight="1">
      <c r="A22" s="72"/>
      <c r="B22" s="72"/>
      <c r="C22" s="72"/>
      <c r="T22" s="194"/>
      <c r="AM22" s="381"/>
      <c r="AN22" s="381"/>
    </row>
    <row r="23" spans="1:40" s="19" customFormat="1" ht="13.5" customHeight="1" thickBot="1">
      <c r="A23" s="72"/>
      <c r="B23" s="72"/>
      <c r="C23" s="72"/>
      <c r="F23" s="41"/>
      <c r="G23" s="41"/>
      <c r="H23" s="41"/>
      <c r="I23" s="41"/>
      <c r="K23" s="85">
        <v>0</v>
      </c>
      <c r="L23" s="86">
        <v>0</v>
      </c>
      <c r="M23" s="87">
        <v>0</v>
      </c>
      <c r="N23" s="41"/>
      <c r="O23"/>
      <c r="P23" s="184"/>
      <c r="V23" s="160" t="s">
        <v>80</v>
      </c>
      <c r="AM23" s="381"/>
      <c r="AN23" s="381"/>
    </row>
    <row r="24" spans="1:40" s="19" customFormat="1" ht="13.5" customHeight="1">
      <c r="A24" s="198" t="s">
        <v>68</v>
      </c>
      <c r="B24" s="199">
        <v>30</v>
      </c>
      <c r="C24" s="72"/>
      <c r="F24" s="41"/>
      <c r="G24" s="268"/>
      <c r="J24" s="46" t="s">
        <v>48</v>
      </c>
      <c r="K24" s="53">
        <v>0</v>
      </c>
      <c r="L24" s="24" t="s">
        <v>17</v>
      </c>
      <c r="M24" s="24" t="s">
        <v>2</v>
      </c>
      <c r="O24"/>
      <c r="S24" s="156" t="s">
        <v>63</v>
      </c>
      <c r="T24" s="46" t="s">
        <v>64</v>
      </c>
      <c r="U24" s="13" t="s">
        <v>1</v>
      </c>
      <c r="V24" s="24" t="s">
        <v>17</v>
      </c>
      <c r="W24" s="24" t="s">
        <v>2</v>
      </c>
      <c r="Y24" s="161" t="s">
        <v>82</v>
      </c>
      <c r="AE24" s="268" t="s">
        <v>112</v>
      </c>
      <c r="AG24" s="332" t="s">
        <v>174</v>
      </c>
      <c r="AK24" s="195" t="s">
        <v>184</v>
      </c>
      <c r="AM24" s="399" t="s">
        <v>188</v>
      </c>
      <c r="AN24" s="381"/>
    </row>
    <row r="25" spans="1:40" s="19" customFormat="1" ht="13.5" customHeight="1">
      <c r="A25" s="198" t="s">
        <v>69</v>
      </c>
      <c r="B25" s="200">
        <v>0.01</v>
      </c>
      <c r="C25" s="72"/>
      <c r="F25" s="13" t="s">
        <v>1</v>
      </c>
      <c r="G25" s="94"/>
      <c r="H25" s="41"/>
      <c r="I25" s="94"/>
      <c r="J25" s="13" t="s">
        <v>1</v>
      </c>
      <c r="K25" s="100">
        <v>19761.90476190476</v>
      </c>
      <c r="L25" s="103">
        <v>-870.6288983728942</v>
      </c>
      <c r="M25" s="104">
        <v>-2922</v>
      </c>
      <c r="N25" s="13" t="s">
        <v>1</v>
      </c>
      <c r="S25" s="168"/>
      <c r="T25" s="13" t="s">
        <v>1</v>
      </c>
      <c r="U25" s="387">
        <f>-Y18/AK18</f>
        <v>-0.24052034132848765</v>
      </c>
      <c r="V25" s="169">
        <f>-Y19/AK19</f>
        <v>-0.14432299113971864</v>
      </c>
      <c r="W25" s="170"/>
      <c r="X25" s="13" t="s">
        <v>1</v>
      </c>
      <c r="Y25" s="404">
        <f>AK18/AK6</f>
        <v>0.8061133434773736</v>
      </c>
      <c r="AE25" s="167"/>
      <c r="AF25" s="13" t="s">
        <v>1</v>
      </c>
      <c r="AG25" s="333"/>
      <c r="AJ25" s="13" t="s">
        <v>1</v>
      </c>
      <c r="AK25" s="167"/>
      <c r="AM25" s="294"/>
      <c r="AN25" s="256" t="s">
        <v>1</v>
      </c>
    </row>
    <row r="26" spans="1:40" s="19" customFormat="1" ht="13.5" customHeight="1">
      <c r="A26" s="198" t="s">
        <v>70</v>
      </c>
      <c r="B26" s="203">
        <f>B24/30</f>
        <v>1</v>
      </c>
      <c r="C26" s="72"/>
      <c r="F26" s="13" t="s">
        <v>17</v>
      </c>
      <c r="G26" s="98">
        <v>82435.12623958813</v>
      </c>
      <c r="I26" s="98"/>
      <c r="J26" s="24" t="s">
        <v>17</v>
      </c>
      <c r="K26" s="101">
        <v>-12214.939854977285</v>
      </c>
      <c r="L26" s="105">
        <v>384.7266277301339</v>
      </c>
      <c r="M26" s="106">
        <v>649.365827384457</v>
      </c>
      <c r="N26" s="24" t="s">
        <v>17</v>
      </c>
      <c r="Q26" s="329" t="s">
        <v>134</v>
      </c>
      <c r="R26" s="330" t="s">
        <v>140</v>
      </c>
      <c r="S26" s="177">
        <f>V25-U26</f>
        <v>-0.01395518042506233</v>
      </c>
      <c r="T26" s="24" t="s">
        <v>17</v>
      </c>
      <c r="U26" s="178">
        <f>-SUM(V26:W26)</f>
        <v>-0.1303678107146563</v>
      </c>
      <c r="V26" s="179">
        <f>V19/AH19</f>
        <v>0.06377561930027709</v>
      </c>
      <c r="W26" s="180">
        <f>W19/AI19</f>
        <v>0.06659219141437922</v>
      </c>
      <c r="X26" s="24" t="s">
        <v>17</v>
      </c>
      <c r="Y26" s="181">
        <f>(1-V26)*(1-W26)</f>
        <v>0.8738791475333583</v>
      </c>
      <c r="AE26" s="175">
        <f>S19/S26</f>
        <v>632327.3047466427</v>
      </c>
      <c r="AF26" s="24" t="s">
        <v>17</v>
      </c>
      <c r="AG26" s="346">
        <f>U19/U26</f>
        <v>281087.94164902426</v>
      </c>
      <c r="AJ26" s="24" t="s">
        <v>17</v>
      </c>
      <c r="AK26" s="175">
        <f>AK40*AK19</f>
        <v>632327.3049343583</v>
      </c>
      <c r="AM26" s="389">
        <f>P0*AG26</f>
        <v>632327.3048339831</v>
      </c>
      <c r="AN26" s="257" t="s">
        <v>17</v>
      </c>
    </row>
    <row r="27" spans="1:40" s="19" customFormat="1" ht="13.5" customHeight="1" thickBot="1">
      <c r="A27" s="198" t="s">
        <v>71</v>
      </c>
      <c r="B27" s="199">
        <v>30.000591278076172</v>
      </c>
      <c r="C27" s="72"/>
      <c r="F27" s="13" t="s">
        <v>2</v>
      </c>
      <c r="G27" s="99"/>
      <c r="H27" s="41"/>
      <c r="I27" s="99">
        <v>-21236.435040062053</v>
      </c>
      <c r="J27" s="24" t="s">
        <v>2</v>
      </c>
      <c r="K27" s="102">
        <v>-7546.964906927475</v>
      </c>
      <c r="L27" s="107">
        <v>485.90227064276024</v>
      </c>
      <c r="M27" s="108">
        <v>2272.6341726155424</v>
      </c>
      <c r="N27" s="24" t="s">
        <v>2</v>
      </c>
      <c r="Q27" s="331" t="s">
        <v>135</v>
      </c>
      <c r="R27" s="194"/>
      <c r="S27" s="189">
        <f>W27-U27</f>
        <v>0.1133756659762215</v>
      </c>
      <c r="T27" s="24" t="s">
        <v>2</v>
      </c>
      <c r="U27" s="186">
        <f>-V27</f>
        <v>-0.6543886764359726</v>
      </c>
      <c r="V27" s="187">
        <f>V20/AH20</f>
        <v>0.6543886764359726</v>
      </c>
      <c r="W27" s="188">
        <f>(AI6+Y20)/AK20</f>
        <v>-0.5410130104597511</v>
      </c>
      <c r="X27" s="24" t="s">
        <v>2</v>
      </c>
      <c r="Y27" s="189">
        <f>1-V27</f>
        <v>0.34561132356402735</v>
      </c>
      <c r="AE27" s="147">
        <f>S20/S27</f>
        <v>77831.88349503058</v>
      </c>
      <c r="AF27" s="24" t="s">
        <v>2</v>
      </c>
      <c r="AG27" s="357">
        <f>U20/U27</f>
        <v>34598.54293010093</v>
      </c>
      <c r="AJ27" s="24" t="s">
        <v>2</v>
      </c>
      <c r="AK27" s="147">
        <f>AK41*AK20</f>
        <v>77831.881992846</v>
      </c>
      <c r="AM27" s="389">
        <f>P0*AG27</f>
        <v>77831.8816304496</v>
      </c>
      <c r="AN27" s="257" t="s">
        <v>2</v>
      </c>
    </row>
    <row r="28" spans="1:40" s="19" customFormat="1" ht="13.5" customHeight="1">
      <c r="A28" s="72"/>
      <c r="B28" s="72"/>
      <c r="C28" s="72"/>
      <c r="H28" s="41"/>
      <c r="I28" s="191"/>
      <c r="O28"/>
      <c r="W28" s="196" t="s">
        <v>139</v>
      </c>
      <c r="AM28" s="381"/>
      <c r="AN28" s="381"/>
    </row>
    <row r="29" spans="1:40" s="19" customFormat="1" ht="13.5" customHeight="1">
      <c r="A29" s="72"/>
      <c r="B29" s="72"/>
      <c r="C29" s="72"/>
      <c r="H29" s="41"/>
      <c r="I29" s="191"/>
      <c r="K29" s="41"/>
      <c r="L29" s="41"/>
      <c r="M29" s="41"/>
      <c r="O29"/>
      <c r="AM29" s="381"/>
      <c r="AN29" s="381"/>
    </row>
    <row r="30" spans="1:49" s="41" customFormat="1" ht="13.5" customHeight="1" thickBot="1">
      <c r="A30" s="72"/>
      <c r="B30" s="72"/>
      <c r="C30" s="72"/>
      <c r="D30" s="19"/>
      <c r="E30" s="19"/>
      <c r="F30" s="19"/>
      <c r="G30" s="19"/>
      <c r="I30" s="405"/>
      <c r="J30" s="12"/>
      <c r="K30" s="85">
        <v>0</v>
      </c>
      <c r="L30" s="86">
        <v>0</v>
      </c>
      <c r="M30" s="87">
        <v>0</v>
      </c>
      <c r="N30" s="19"/>
      <c r="O30"/>
      <c r="S30" s="19"/>
      <c r="T30" s="207"/>
      <c r="U30" s="326">
        <f>-SUM(V30:W30)</f>
        <v>843263.8249470728</v>
      </c>
      <c r="V30" s="338">
        <f>-SUM(V32:V34)</f>
        <v>-596774.4262281494</v>
      </c>
      <c r="W30" s="339">
        <f>-SUM(W32:W34)</f>
        <v>-246489.39871892333</v>
      </c>
      <c r="X30" s="19"/>
      <c r="Y30" s="19"/>
      <c r="Z30" s="19"/>
      <c r="AA30" s="19"/>
      <c r="AB30" s="19"/>
      <c r="AC30" s="19"/>
      <c r="AD30" s="19"/>
      <c r="AE30" s="19"/>
      <c r="AF30" s="207"/>
      <c r="AG30" s="218">
        <f>-SUM(AH30:AI30)</f>
        <v>1896981.9142399281</v>
      </c>
      <c r="AH30" s="219">
        <f>-SUM(AH32:AH34)</f>
        <v>-1342486.4929883159</v>
      </c>
      <c r="AI30" s="220">
        <f>-SUM(AI32:AI34)</f>
        <v>-554495.4212516121</v>
      </c>
      <c r="AJ30" s="19"/>
      <c r="AL30" s="19"/>
      <c r="AM30" s="397" t="s">
        <v>166</v>
      </c>
      <c r="AN30" s="382"/>
      <c r="AP30" s="19"/>
      <c r="AQ30" s="19"/>
      <c r="AR30" s="19"/>
      <c r="AS30" s="19"/>
      <c r="AT30" s="19"/>
      <c r="AU30" s="19"/>
      <c r="AV30" s="19"/>
      <c r="AW30" s="19"/>
    </row>
    <row r="31" spans="1:50" s="41" customFormat="1" ht="13.5" customHeight="1">
      <c r="A31" s="72"/>
      <c r="B31" s="72"/>
      <c r="C31" s="72"/>
      <c r="D31" s="19"/>
      <c r="E31" s="19"/>
      <c r="I31" s="19"/>
      <c r="J31" s="47" t="s">
        <v>49</v>
      </c>
      <c r="K31" s="53">
        <v>0</v>
      </c>
      <c r="L31" s="24" t="s">
        <v>17</v>
      </c>
      <c r="M31" s="24" t="s">
        <v>2</v>
      </c>
      <c r="N31" s="19"/>
      <c r="O31"/>
      <c r="P31" s="163"/>
      <c r="Q31" s="19"/>
      <c r="R31" s="19"/>
      <c r="S31" s="336" t="s">
        <v>142</v>
      </c>
      <c r="T31" s="351" t="s">
        <v>148</v>
      </c>
      <c r="U31" s="24" t="s">
        <v>1</v>
      </c>
      <c r="V31" s="24" t="s">
        <v>17</v>
      </c>
      <c r="W31" s="24" t="s">
        <v>2</v>
      </c>
      <c r="X31" s="19"/>
      <c r="AE31" s="195" t="s">
        <v>74</v>
      </c>
      <c r="AF31" s="222" t="s">
        <v>86</v>
      </c>
      <c r="AG31" s="24" t="s">
        <v>1</v>
      </c>
      <c r="AH31" s="24" t="s">
        <v>17</v>
      </c>
      <c r="AI31" s="24" t="s">
        <v>2</v>
      </c>
      <c r="AJ31" s="19"/>
      <c r="AM31" s="398" t="s">
        <v>187</v>
      </c>
      <c r="AN31" s="382"/>
      <c r="AP31" s="19"/>
      <c r="AQ31" s="19"/>
      <c r="AR31" s="210"/>
      <c r="AS31" s="19"/>
      <c r="AT31" s="19"/>
      <c r="AU31" s="19"/>
      <c r="AV31" s="19"/>
      <c r="AW31" s="19"/>
      <c r="AX31" s="19"/>
    </row>
    <row r="32" spans="1:50" s="41" customFormat="1" ht="13.5" customHeight="1">
      <c r="A32" s="72"/>
      <c r="B32" s="136"/>
      <c r="C32" s="72"/>
      <c r="D32" s="19"/>
      <c r="E32" s="19"/>
      <c r="I32" s="94"/>
      <c r="J32" s="13" t="s">
        <v>1</v>
      </c>
      <c r="K32" s="100">
        <v>19761.90476190476</v>
      </c>
      <c r="L32" s="103">
        <v>-870.6288949725381</v>
      </c>
      <c r="M32" s="104">
        <v>-2922</v>
      </c>
      <c r="N32" s="13" t="s">
        <v>1</v>
      </c>
      <c r="O32"/>
      <c r="P32" s="19"/>
      <c r="Q32" s="19"/>
      <c r="R32" s="19"/>
      <c r="S32" s="333">
        <f>-SUM(S33:S34)</f>
        <v>-843263.8249470728</v>
      </c>
      <c r="T32" s="13" t="s">
        <v>1</v>
      </c>
      <c r="U32" s="131">
        <f>-U30-SUM(U33:U34)</f>
        <v>-246489.39871892333</v>
      </c>
      <c r="V32" s="340">
        <f>V6*AG26</f>
        <v>281087.94164902426</v>
      </c>
      <c r="W32" s="341">
        <f>W6*AG27</f>
        <v>0</v>
      </c>
      <c r="X32" s="13" t="s">
        <v>1</v>
      </c>
      <c r="AE32" s="167">
        <f>-SUM(AE33:AE34)</f>
        <v>-1896981.9142399281</v>
      </c>
      <c r="AF32" s="13" t="s">
        <v>1</v>
      </c>
      <c r="AG32" s="131">
        <f>-AG30-SUM(AG33:AG34)</f>
        <v>-554495.4212516122</v>
      </c>
      <c r="AH32" s="223">
        <f>V6*AE26</f>
        <v>632327.3047466427</v>
      </c>
      <c r="AI32" s="224">
        <f>W6*AE27</f>
        <v>0</v>
      </c>
      <c r="AJ32" s="13" t="s">
        <v>1</v>
      </c>
      <c r="AM32" s="294"/>
      <c r="AN32" s="256" t="s">
        <v>1</v>
      </c>
      <c r="AP32" s="19"/>
      <c r="AS32" s="19"/>
      <c r="AX32" s="19"/>
    </row>
    <row r="33" spans="1:44" s="19" customFormat="1" ht="13.5" customHeight="1">
      <c r="A33" s="72"/>
      <c r="B33" s="72"/>
      <c r="C33" s="72"/>
      <c r="D33" s="41"/>
      <c r="E33" s="41"/>
      <c r="F33" s="304" t="s">
        <v>125</v>
      </c>
      <c r="G33" s="41"/>
      <c r="H33" s="41"/>
      <c r="I33" s="98"/>
      <c r="J33" s="24" t="s">
        <v>17</v>
      </c>
      <c r="K33" s="101">
        <v>-12214.939856878022</v>
      </c>
      <c r="L33" s="105">
        <v>384.7266254330734</v>
      </c>
      <c r="M33" s="106">
        <v>649.3658285504041</v>
      </c>
      <c r="N33" s="24" t="s">
        <v>17</v>
      </c>
      <c r="O33" s="41"/>
      <c r="Q33" s="41"/>
      <c r="R33" s="41"/>
      <c r="S33" s="337">
        <f>S7*$AG26</f>
        <v>843263.8249470728</v>
      </c>
      <c r="T33" s="24" t="s">
        <v>17</v>
      </c>
      <c r="U33" s="346">
        <f aca="true" t="shared" si="3" ref="U33:W34">U7*$AG26</f>
        <v>-562175.8832980485</v>
      </c>
      <c r="V33" s="342">
        <f t="shared" si="3"/>
        <v>281087.94164902426</v>
      </c>
      <c r="W33" s="343">
        <f t="shared" si="3"/>
        <v>281087.94164902426</v>
      </c>
      <c r="X33" s="24" t="s">
        <v>17</v>
      </c>
      <c r="Z33" s="41"/>
      <c r="AA33" s="41"/>
      <c r="AC33" s="41"/>
      <c r="AD33" s="41"/>
      <c r="AE33" s="175">
        <f>S7*$AE26</f>
        <v>1896981.9142399281</v>
      </c>
      <c r="AF33" s="24" t="s">
        <v>17</v>
      </c>
      <c r="AG33" s="128">
        <f aca="true" t="shared" si="4" ref="AG33:AI34">U7*$AE26</f>
        <v>-1264654.6094932854</v>
      </c>
      <c r="AH33" s="228">
        <f t="shared" si="4"/>
        <v>632327.3047466427</v>
      </c>
      <c r="AI33" s="229">
        <f t="shared" si="4"/>
        <v>632327.3047466427</v>
      </c>
      <c r="AJ33" s="24" t="s">
        <v>17</v>
      </c>
      <c r="AL33" s="41"/>
      <c r="AM33" s="389">
        <f>(AG54+AG76)/U7</f>
        <v>632327.3047819224</v>
      </c>
      <c r="AN33" s="257" t="s">
        <v>17</v>
      </c>
      <c r="AO33" s="41"/>
      <c r="AQ33" s="41"/>
      <c r="AR33" s="41"/>
    </row>
    <row r="34" spans="1:50" s="41" customFormat="1" ht="13.5" customHeight="1" thickBot="1">
      <c r="A34" s="72"/>
      <c r="B34" s="72"/>
      <c r="C34" s="72"/>
      <c r="E34" s="19"/>
      <c r="F34" s="305" t="s">
        <v>103</v>
      </c>
      <c r="G34" s="19"/>
      <c r="H34" s="19"/>
      <c r="I34" s="99">
        <v>-21236.43508587937</v>
      </c>
      <c r="J34" s="24" t="s">
        <v>2</v>
      </c>
      <c r="K34" s="102">
        <v>-7546.964905026739</v>
      </c>
      <c r="L34" s="107">
        <v>485.9022695394644</v>
      </c>
      <c r="M34" s="108">
        <v>2272.6341714495957</v>
      </c>
      <c r="N34" s="24" t="s">
        <v>2</v>
      </c>
      <c r="P34" s="19"/>
      <c r="S34" s="334">
        <f>S8*$AG27</f>
        <v>0</v>
      </c>
      <c r="T34" s="24" t="s">
        <v>2</v>
      </c>
      <c r="U34" s="212">
        <f t="shared" si="3"/>
        <v>-34598.54293010093</v>
      </c>
      <c r="V34" s="344">
        <f t="shared" si="3"/>
        <v>34598.54293010093</v>
      </c>
      <c r="W34" s="345">
        <f t="shared" si="3"/>
        <v>-34598.54293010093</v>
      </c>
      <c r="X34" s="24" t="s">
        <v>2</v>
      </c>
      <c r="Z34" s="19"/>
      <c r="AA34" s="19"/>
      <c r="AB34" s="19"/>
      <c r="AC34" s="19"/>
      <c r="AD34" s="19"/>
      <c r="AE34" s="147">
        <f>S8*$AE27</f>
        <v>0</v>
      </c>
      <c r="AF34" s="24" t="s">
        <v>2</v>
      </c>
      <c r="AG34" s="212">
        <f t="shared" si="4"/>
        <v>-77831.88349503058</v>
      </c>
      <c r="AH34" s="234">
        <f t="shared" si="4"/>
        <v>77831.88349503058</v>
      </c>
      <c r="AI34" s="235">
        <f t="shared" si="4"/>
        <v>-77831.88349503058</v>
      </c>
      <c r="AJ34" s="24" t="s">
        <v>2</v>
      </c>
      <c r="AM34" s="389">
        <f>(AG55+AG77)/U8</f>
        <v>77831.88173457085</v>
      </c>
      <c r="AN34" s="257" t="s">
        <v>2</v>
      </c>
      <c r="AO34" s="19"/>
      <c r="AW34" s="19"/>
      <c r="AX34" s="19"/>
    </row>
    <row r="35" spans="1:45" s="19" customFormat="1" ht="13.5" customHeight="1">
      <c r="A35" s="72"/>
      <c r="B35" s="72"/>
      <c r="C35" s="72"/>
      <c r="E35" s="41"/>
      <c r="F35" s="41"/>
      <c r="G35" s="41"/>
      <c r="I35" s="191"/>
      <c r="N35" s="41"/>
      <c r="Q35" s="41"/>
      <c r="R35" s="41"/>
      <c r="S35" s="41"/>
      <c r="T35" s="41"/>
      <c r="U35" s="41"/>
      <c r="V35" s="41"/>
      <c r="W35" s="41"/>
      <c r="X35" s="41"/>
      <c r="Y35" s="41"/>
      <c r="Z35" s="41"/>
      <c r="AA35" s="41"/>
      <c r="AB35" s="41"/>
      <c r="AC35" s="41"/>
      <c r="AD35" s="41"/>
      <c r="AE35" s="41"/>
      <c r="AF35" s="41"/>
      <c r="AG35" s="41"/>
      <c r="AH35" s="41"/>
      <c r="AI35" s="41"/>
      <c r="AJ35" s="41"/>
      <c r="AK35" s="41"/>
      <c r="AM35" s="382"/>
      <c r="AN35" s="382"/>
      <c r="AO35" s="41"/>
      <c r="AP35" s="41"/>
      <c r="AQ35" s="41"/>
      <c r="AR35" s="41"/>
      <c r="AS35" s="41"/>
    </row>
    <row r="36" spans="1:50" s="41" customFormat="1" ht="13.5" customHeight="1">
      <c r="A36" s="72"/>
      <c r="B36" s="72"/>
      <c r="C36" s="72"/>
      <c r="D36" s="19"/>
      <c r="E36" s="19"/>
      <c r="F36" s="19"/>
      <c r="G36" s="19"/>
      <c r="H36" s="19"/>
      <c r="I36" s="191"/>
      <c r="J36" s="19"/>
      <c r="K36" s="19"/>
      <c r="L36" s="19"/>
      <c r="M36" s="19"/>
      <c r="O36" s="19"/>
      <c r="P36" s="19"/>
      <c r="Q36" s="19"/>
      <c r="R36" s="19"/>
      <c r="S36" s="207"/>
      <c r="T36" s="349" t="s">
        <v>72</v>
      </c>
      <c r="U36" s="207"/>
      <c r="V36" s="207"/>
      <c r="W36" s="19"/>
      <c r="X36" s="19"/>
      <c r="Y36" s="19"/>
      <c r="Z36" s="19"/>
      <c r="AC36" s="194"/>
      <c r="AD36" s="300" t="s">
        <v>123</v>
      </c>
      <c r="AG36" s="19"/>
      <c r="AH36" s="19"/>
      <c r="AI36" s="19"/>
      <c r="AM36" s="381"/>
      <c r="AN36" s="381"/>
      <c r="AQ36" s="19"/>
      <c r="AR36" s="19"/>
      <c r="AS36" s="19"/>
      <c r="AX36" s="19"/>
    </row>
    <row r="37" spans="1:46" s="41" customFormat="1" ht="13.5" customHeight="1" thickBot="1">
      <c r="A37" s="72"/>
      <c r="B37" s="72"/>
      <c r="C37" s="72"/>
      <c r="D37" s="19"/>
      <c r="H37" s="19"/>
      <c r="I37" s="405"/>
      <c r="J37" s="19"/>
      <c r="K37" s="85">
        <v>0</v>
      </c>
      <c r="L37" s="86">
        <v>0</v>
      </c>
      <c r="M37" s="87">
        <v>0</v>
      </c>
      <c r="O37" s="19"/>
      <c r="P37" s="19"/>
      <c r="S37" s="335">
        <f>SUM(S33:S34)</f>
        <v>843263.8249470728</v>
      </c>
      <c r="T37" s="350" t="s">
        <v>67</v>
      </c>
      <c r="U37" s="347">
        <f>SUM(U33:U34)</f>
        <v>-596774.4262281494</v>
      </c>
      <c r="V37" s="348">
        <f>SUM(V33:V34)</f>
        <v>315686.4845791252</v>
      </c>
      <c r="W37" s="197">
        <f>W33</f>
        <v>281087.94164902426</v>
      </c>
      <c r="Z37" s="19"/>
      <c r="AA37" s="194"/>
      <c r="AB37" s="194"/>
      <c r="AC37" s="194"/>
      <c r="AD37" s="300" t="s">
        <v>117</v>
      </c>
      <c r="AE37" s="19"/>
      <c r="AF37" s="19"/>
      <c r="AG37" s="221">
        <f>AG30/AG16</f>
        <v>2.249571081293583</v>
      </c>
      <c r="AH37" s="215">
        <f>AH30/AH16</f>
        <v>104.82005381378399</v>
      </c>
      <c r="AI37" s="216">
        <f>AI30/AI16</f>
        <v>21.614965941485963</v>
      </c>
      <c r="AM37" s="394" t="s">
        <v>166</v>
      </c>
      <c r="AN37" s="395" t="s">
        <v>185</v>
      </c>
      <c r="AO37" s="19"/>
      <c r="AQ37" s="19"/>
      <c r="AR37" s="19"/>
      <c r="AS37" s="19"/>
      <c r="AT37" s="19"/>
    </row>
    <row r="38" spans="1:46" s="41" customFormat="1" ht="13.5" customHeight="1">
      <c r="A38" s="72"/>
      <c r="B38" s="72"/>
      <c r="C38" s="72"/>
      <c r="D38" s="19"/>
      <c r="H38" s="19"/>
      <c r="I38" s="19"/>
      <c r="J38" s="47" t="s">
        <v>50</v>
      </c>
      <c r="K38" s="53">
        <v>0</v>
      </c>
      <c r="L38" s="24" t="s">
        <v>17</v>
      </c>
      <c r="M38" s="24" t="s">
        <v>2</v>
      </c>
      <c r="N38"/>
      <c r="O38"/>
      <c r="P38" s="19"/>
      <c r="Q38" s="19"/>
      <c r="R38" s="19"/>
      <c r="T38" s="19"/>
      <c r="U38" s="13" t="s">
        <v>1</v>
      </c>
      <c r="V38" s="24" t="s">
        <v>17</v>
      </c>
      <c r="W38" s="24" t="s">
        <v>2</v>
      </c>
      <c r="Z38" s="19"/>
      <c r="AA38" s="238"/>
      <c r="AB38" s="238"/>
      <c r="AC38" s="194"/>
      <c r="AE38" s="194"/>
      <c r="AF38" s="380" t="s">
        <v>182</v>
      </c>
      <c r="AG38" s="13" t="s">
        <v>1</v>
      </c>
      <c r="AH38" s="24" t="s">
        <v>17</v>
      </c>
      <c r="AI38" s="24" t="s">
        <v>2</v>
      </c>
      <c r="AJ38" s="19"/>
      <c r="AK38" s="272" t="s">
        <v>109</v>
      </c>
      <c r="AM38" s="396" t="s">
        <v>186</v>
      </c>
      <c r="AN38" s="254"/>
      <c r="AQ38" s="19"/>
      <c r="AR38" s="19"/>
      <c r="AT38" s="19"/>
    </row>
    <row r="39" spans="1:44" s="41" customFormat="1" ht="13.5" customHeight="1">
      <c r="A39" s="72"/>
      <c r="B39" s="72"/>
      <c r="C39" s="72"/>
      <c r="D39" s="19"/>
      <c r="E39" s="19"/>
      <c r="H39" s="19"/>
      <c r="I39" s="94"/>
      <c r="J39" s="13" t="s">
        <v>1</v>
      </c>
      <c r="K39" s="100">
        <v>19761.90476190476</v>
      </c>
      <c r="L39" s="103">
        <v>-870.6288872197132</v>
      </c>
      <c r="M39" s="104">
        <v>-2922</v>
      </c>
      <c r="N39" s="13" t="s">
        <v>1</v>
      </c>
      <c r="O39" s="19"/>
      <c r="P39" s="19"/>
      <c r="Z39" s="19"/>
      <c r="AA39" s="19"/>
      <c r="AB39" s="19"/>
      <c r="AC39" s="302"/>
      <c r="AD39" s="301" t="s">
        <v>160</v>
      </c>
      <c r="AE39" s="387">
        <f>AE32/AE18</f>
        <v>1</v>
      </c>
      <c r="AF39" s="13" t="s">
        <v>1</v>
      </c>
      <c r="AG39" s="297">
        <f aca="true" t="shared" si="5" ref="AG39:AH41">AG32/AG18</f>
        <v>2.2495710744377093</v>
      </c>
      <c r="AH39" s="225">
        <f t="shared" si="5"/>
        <v>104.82005365855804</v>
      </c>
      <c r="AI39" s="226"/>
      <c r="AJ39" s="13" t="s">
        <v>1</v>
      </c>
      <c r="AK39" s="209"/>
      <c r="AM39" s="294"/>
      <c r="AN39" s="256" t="s">
        <v>1</v>
      </c>
      <c r="AQ39" s="19"/>
      <c r="AR39" s="19"/>
    </row>
    <row r="40" spans="1:45" s="41" customFormat="1" ht="13.5" customHeight="1" thickBot="1">
      <c r="A40" s="72"/>
      <c r="B40" s="72"/>
      <c r="C40" s="72"/>
      <c r="D40" s="19"/>
      <c r="H40" s="19"/>
      <c r="I40" s="98"/>
      <c r="J40" s="24" t="s">
        <v>17</v>
      </c>
      <c r="K40" s="101">
        <v>-12214.939859217047</v>
      </c>
      <c r="L40" s="105">
        <v>384.7266201947982</v>
      </c>
      <c r="M40" s="106">
        <v>649.3658299848407</v>
      </c>
      <c r="N40" s="24" t="s">
        <v>17</v>
      </c>
      <c r="O40" s="19"/>
      <c r="S40" s="124">
        <f>-S75</f>
        <v>0</v>
      </c>
      <c r="T40" s="196" t="s">
        <v>159</v>
      </c>
      <c r="U40" s="383">
        <f>-U75</f>
        <v>-59285.714285714275</v>
      </c>
      <c r="V40" s="369">
        <f>Y19</f>
        <v>870.628899863199</v>
      </c>
      <c r="W40" s="197">
        <f>AI6</f>
        <v>8766</v>
      </c>
      <c r="Y40" s="227" t="s">
        <v>158</v>
      </c>
      <c r="Z40" s="19"/>
      <c r="AC40" s="194"/>
      <c r="AD40" s="300" t="s">
        <v>118</v>
      </c>
      <c r="AE40" s="230">
        <f>AE33/AE19</f>
        <v>1.0000000000034537</v>
      </c>
      <c r="AF40" s="24" t="s">
        <v>17</v>
      </c>
      <c r="AG40" s="178">
        <f t="shared" si="5"/>
        <v>2.2495710816670824</v>
      </c>
      <c r="AH40" s="231">
        <f t="shared" si="5"/>
        <v>104.82005376691436</v>
      </c>
      <c r="AI40" s="232">
        <f>AI33/AI19</f>
        <v>21.614965995578814</v>
      </c>
      <c r="AJ40" s="24" t="s">
        <v>17</v>
      </c>
      <c r="AK40" s="211">
        <f>AH47</f>
        <v>104.82005368967542</v>
      </c>
      <c r="AM40" s="389">
        <f>(AK40*AK7*AK54)^Y7</f>
        <v>632327.304730632</v>
      </c>
      <c r="AN40" s="257" t="s">
        <v>17</v>
      </c>
      <c r="AQ40" s="19"/>
      <c r="AR40" s="19"/>
      <c r="AS40" s="19"/>
    </row>
    <row r="41" spans="1:45" s="41" customFormat="1" ht="13.5" customHeight="1" thickBot="1">
      <c r="A41" s="72"/>
      <c r="B41" s="136"/>
      <c r="C41" s="72"/>
      <c r="D41" s="19"/>
      <c r="H41" s="19"/>
      <c r="I41" s="99">
        <v>-21236.43453537316</v>
      </c>
      <c r="J41" s="24" t="s">
        <v>2</v>
      </c>
      <c r="K41" s="102">
        <v>-7546.964902687712</v>
      </c>
      <c r="L41" s="107">
        <v>485.90226702491424</v>
      </c>
      <c r="M41" s="108">
        <v>2272.6341700151593</v>
      </c>
      <c r="N41" s="24" t="s">
        <v>2</v>
      </c>
      <c r="O41" s="19"/>
      <c r="S41" s="163"/>
      <c r="T41" s="163"/>
      <c r="U41" s="13" t="s">
        <v>1</v>
      </c>
      <c r="V41" s="24" t="s">
        <v>17</v>
      </c>
      <c r="W41" s="24" t="s">
        <v>2</v>
      </c>
      <c r="Z41" s="19"/>
      <c r="AC41" s="194"/>
      <c r="AD41" s="300" t="s">
        <v>122</v>
      </c>
      <c r="AE41" s="278"/>
      <c r="AF41" s="24" t="s">
        <v>2</v>
      </c>
      <c r="AG41" s="186">
        <f t="shared" si="5"/>
        <v>2.2495711362985733</v>
      </c>
      <c r="AH41" s="236">
        <f t="shared" si="5"/>
        <v>104.82005635086766</v>
      </c>
      <c r="AI41" s="237">
        <f>AI34/AI20</f>
        <v>21.61496642062472</v>
      </c>
      <c r="AJ41" s="24" t="s">
        <v>2</v>
      </c>
      <c r="AK41" s="213">
        <f>-AI47</f>
        <v>-21.61496600344775</v>
      </c>
      <c r="AM41" s="389">
        <f>(AK41*AK8*AK55)^Y8</f>
        <v>77831.88175593269</v>
      </c>
      <c r="AN41" s="257" t="s">
        <v>2</v>
      </c>
      <c r="AQ41" s="19"/>
      <c r="AR41" s="19"/>
      <c r="AS41" s="19"/>
    </row>
    <row r="42" spans="1:45" s="41" customFormat="1" ht="13.5" customHeight="1">
      <c r="A42" s="72"/>
      <c r="B42" s="72"/>
      <c r="C42" s="72"/>
      <c r="D42" s="19"/>
      <c r="E42" s="19"/>
      <c r="F42" s="19"/>
      <c r="G42" s="19"/>
      <c r="H42" s="19"/>
      <c r="I42" s="19"/>
      <c r="J42" s="19"/>
      <c r="K42" s="19"/>
      <c r="L42" s="19"/>
      <c r="M42" s="19"/>
      <c r="N42" s="19"/>
      <c r="O42" s="367"/>
      <c r="Z42" s="19"/>
      <c r="AA42" s="19"/>
      <c r="AB42" s="19"/>
      <c r="AL42" s="19"/>
      <c r="AN42" s="19"/>
      <c r="AQ42" s="19"/>
      <c r="AR42" s="19"/>
      <c r="AS42" s="19"/>
    </row>
    <row r="43" spans="1:38" s="19" customFormat="1" ht="13.5" customHeight="1" thickBot="1">
      <c r="A43" s="72"/>
      <c r="B43" s="72"/>
      <c r="C43" s="72"/>
      <c r="I43" s="47" t="s">
        <v>110</v>
      </c>
      <c r="P43" s="41"/>
      <c r="S43" s="124">
        <f>S40+S18-S73</f>
        <v>0</v>
      </c>
      <c r="T43" s="193" t="s">
        <v>8</v>
      </c>
      <c r="U43" s="406">
        <f>-Init!E10</f>
        <v>-59285.714285714275</v>
      </c>
      <c r="V43" s="192">
        <f>V40+V13-V73</f>
        <v>870.628899863199</v>
      </c>
      <c r="W43" s="197">
        <f>W40+Y20+W13-W73</f>
        <v>1948.0974793104533</v>
      </c>
      <c r="Y43" s="309" t="s">
        <v>155</v>
      </c>
      <c r="Z43" s="41"/>
      <c r="AA43" s="41"/>
      <c r="AB43" s="41"/>
      <c r="AC43" s="41"/>
      <c r="AD43" s="41"/>
      <c r="AE43" s="41"/>
      <c r="AF43" s="41"/>
      <c r="AG43" s="41"/>
      <c r="AH43" s="41"/>
      <c r="AI43" s="41"/>
      <c r="AJ43" s="41"/>
      <c r="AK43" s="41"/>
      <c r="AL43" s="41"/>
    </row>
    <row r="44" spans="1:26" s="19" customFormat="1" ht="13.5" customHeight="1" thickBot="1">
      <c r="A44" s="72"/>
      <c r="B44" s="72"/>
      <c r="C44" s="72"/>
      <c r="G44" s="316" t="s">
        <v>177</v>
      </c>
      <c r="I44" s="242">
        <v>5.792698268991786</v>
      </c>
      <c r="M44" s="373">
        <v>-10418.735479688012</v>
      </c>
      <c r="P44" s="41"/>
      <c r="U44" s="13" t="s">
        <v>1</v>
      </c>
      <c r="V44" s="24" t="s">
        <v>17</v>
      </c>
      <c r="W44" s="24" t="s">
        <v>2</v>
      </c>
      <c r="Z44" s="41"/>
    </row>
    <row r="45" spans="1:11" s="19" customFormat="1" ht="13.5" customHeight="1">
      <c r="A45" s="72"/>
      <c r="B45" s="72"/>
      <c r="C45" s="72"/>
      <c r="J45" s="41"/>
      <c r="K45" s="41"/>
    </row>
    <row r="46" spans="1:35" s="19" customFormat="1" ht="13.5" customHeight="1">
      <c r="A46" s="72"/>
      <c r="B46" s="72"/>
      <c r="C46" s="72"/>
      <c r="P46" s="41"/>
      <c r="Q46" s="352" t="s">
        <v>5</v>
      </c>
      <c r="R46" s="194"/>
      <c r="S46" s="390">
        <f>1/AG46</f>
        <v>0.5</v>
      </c>
      <c r="T46" s="194"/>
      <c r="U46" s="390">
        <f>AG46/$AG46</f>
        <v>1</v>
      </c>
      <c r="V46" s="391">
        <f>AH46/$AG46</f>
        <v>49.107142857142854</v>
      </c>
      <c r="W46" s="391">
        <f>AI46/$AG46</f>
        <v>10</v>
      </c>
      <c r="X46" s="194"/>
      <c r="Y46" s="194"/>
      <c r="AA46" s="41"/>
      <c r="AB46" s="41"/>
      <c r="AE46" s="392">
        <f>1</f>
        <v>1</v>
      </c>
      <c r="AG46" s="392">
        <f>Init!E15</f>
        <v>2</v>
      </c>
      <c r="AH46" s="393">
        <f>Init!F15</f>
        <v>98.21428571428571</v>
      </c>
      <c r="AI46" s="393">
        <f>Init!G15</f>
        <v>20</v>
      </c>
    </row>
    <row r="47" spans="1:35" s="19" customFormat="1" ht="13.5" customHeight="1" thickBot="1">
      <c r="A47" s="72"/>
      <c r="B47" s="72"/>
      <c r="C47" s="72"/>
      <c r="G47" s="378" t="s">
        <v>181</v>
      </c>
      <c r="I47" s="271">
        <f>-V47*V40/K19-V0</f>
        <v>0.10704467898534098</v>
      </c>
      <c r="P47" s="41"/>
      <c r="Q47" s="194"/>
      <c r="R47" s="300" t="s">
        <v>149</v>
      </c>
      <c r="S47" s="384">
        <f>S53/(AE32-S18)</f>
        <v>0.44452918528138463</v>
      </c>
      <c r="T47" s="272" t="s">
        <v>150</v>
      </c>
      <c r="U47" s="353">
        <f>U37/(AG13+U43)</f>
        <v>1.0000000003152096</v>
      </c>
      <c r="V47" s="215">
        <f>V37/(AH13+V43)</f>
        <v>46.595573067822414</v>
      </c>
      <c r="W47" s="216">
        <f>W37/(AI13+W43)</f>
        <v>9.608483227397457</v>
      </c>
      <c r="X47" s="194"/>
      <c r="Y47" s="324" t="s">
        <v>151</v>
      </c>
      <c r="Z47" s="41"/>
      <c r="AC47" s="194"/>
      <c r="AD47" s="300" t="s">
        <v>131</v>
      </c>
      <c r="AE47" s="214">
        <f>P0*Chi</f>
        <v>0.9999999999999999</v>
      </c>
      <c r="AF47" s="47" t="s">
        <v>45</v>
      </c>
      <c r="AG47" s="221">
        <f>AG30/(U51+U16)</f>
        <v>2.249571081293583</v>
      </c>
      <c r="AH47" s="215">
        <f>P0*V47</f>
        <v>104.82005368967542</v>
      </c>
      <c r="AI47" s="216">
        <f>P0*W47</f>
        <v>21.61496600344775</v>
      </c>
    </row>
    <row r="48" spans="1:37" s="19" customFormat="1" ht="13.5" customHeight="1">
      <c r="A48" s="72"/>
      <c r="B48" s="72"/>
      <c r="C48" s="72"/>
      <c r="F48" s="41"/>
      <c r="I48" s="390">
        <f>Init!C15</f>
        <v>0.1</v>
      </c>
      <c r="P48" s="41"/>
      <c r="Q48" s="275" t="s">
        <v>143</v>
      </c>
      <c r="R48" s="194"/>
      <c r="S48" s="217" t="s">
        <v>85</v>
      </c>
      <c r="T48" s="194"/>
      <c r="U48" s="354">
        <v>0</v>
      </c>
      <c r="V48" s="24" t="s">
        <v>17</v>
      </c>
      <c r="W48" s="354" t="s">
        <v>2</v>
      </c>
      <c r="X48" s="194"/>
      <c r="Y48" s="355" t="s">
        <v>152</v>
      </c>
      <c r="AC48" s="312" t="s">
        <v>124</v>
      </c>
      <c r="AD48" s="270" t="s">
        <v>121</v>
      </c>
      <c r="AE48" s="277" t="s">
        <v>94</v>
      </c>
      <c r="AG48" s="13" t="s">
        <v>1</v>
      </c>
      <c r="AH48" s="24" t="s">
        <v>17</v>
      </c>
      <c r="AI48" s="24" t="s">
        <v>2</v>
      </c>
      <c r="AJ48" s="41"/>
      <c r="AK48" s="41"/>
    </row>
    <row r="49" spans="1:25" s="19" customFormat="1" ht="13.5" customHeight="1">
      <c r="A49" s="72"/>
      <c r="B49" s="72"/>
      <c r="C49" s="72"/>
      <c r="D49" s="41"/>
      <c r="G49" s="166" t="s">
        <v>138</v>
      </c>
      <c r="P49" s="41"/>
      <c r="Y49" s="194"/>
    </row>
    <row r="50" spans="1:16" s="19" customFormat="1" ht="13.5" customHeight="1" thickBot="1">
      <c r="A50" s="72"/>
      <c r="B50" s="72"/>
      <c r="C50" s="72"/>
      <c r="G50" s="368" t="s">
        <v>170</v>
      </c>
      <c r="I50" s="364">
        <f>(1-Nu/V0)^(-Term*V0)</f>
        <v>0.5548359830226627</v>
      </c>
      <c r="J50" s="41"/>
      <c r="N50" s="362"/>
      <c r="P50" s="41"/>
    </row>
    <row r="51" spans="1:37" s="19" customFormat="1" ht="13.5" customHeight="1" thickBot="1">
      <c r="A51" s="72"/>
      <c r="B51" s="72"/>
      <c r="C51" s="72"/>
      <c r="D51" s="41"/>
      <c r="J51" s="41"/>
      <c r="M51" s="41"/>
      <c r="N51" s="362"/>
      <c r="Q51" s="41"/>
      <c r="R51" s="41"/>
      <c r="U51" s="326">
        <f>-SUM(V51:W51)</f>
        <v>843263.8248305968</v>
      </c>
      <c r="V51" s="338">
        <f>V$47*AH4</f>
        <v>-596774.4262727692</v>
      </c>
      <c r="W51" s="339">
        <f>W$47*AI4</f>
        <v>-246489.3985578276</v>
      </c>
      <c r="X51" s="41"/>
      <c r="AC51" s="41"/>
      <c r="AG51" s="218">
        <f>-SUM(AH51:AI51)</f>
        <v>1896981.9142399281</v>
      </c>
      <c r="AH51" s="219">
        <f>AH$47*AH4</f>
        <v>-1342486.491398791</v>
      </c>
      <c r="AI51" s="220">
        <f>AI$47*AI4</f>
        <v>-554495.4228411372</v>
      </c>
      <c r="AJ51" s="41"/>
      <c r="AK51" s="322" t="s">
        <v>166</v>
      </c>
    </row>
    <row r="52" spans="1:37" s="19" customFormat="1" ht="13.5" customHeight="1">
      <c r="A52" s="72"/>
      <c r="B52" s="72"/>
      <c r="C52" s="72"/>
      <c r="G52" s="267" t="s">
        <v>77</v>
      </c>
      <c r="I52" s="313" t="s">
        <v>102</v>
      </c>
      <c r="J52" s="41"/>
      <c r="K52" s="41"/>
      <c r="L52" s="41"/>
      <c r="M52" s="41"/>
      <c r="N52" s="41"/>
      <c r="Q52" s="41"/>
      <c r="R52" s="41"/>
      <c r="S52" s="356" t="s">
        <v>141</v>
      </c>
      <c r="T52" s="356" t="s">
        <v>153</v>
      </c>
      <c r="U52" s="24" t="s">
        <v>1</v>
      </c>
      <c r="V52" s="24" t="s">
        <v>17</v>
      </c>
      <c r="W52" s="24" t="s">
        <v>2</v>
      </c>
      <c r="AA52" s="41"/>
      <c r="AC52" s="41"/>
      <c r="AE52" s="126" t="s">
        <v>57</v>
      </c>
      <c r="AF52" s="258" t="s">
        <v>111</v>
      </c>
      <c r="AG52" s="24" t="s">
        <v>1</v>
      </c>
      <c r="AH52" s="24" t="s">
        <v>17</v>
      </c>
      <c r="AI52" s="24" t="s">
        <v>2</v>
      </c>
      <c r="AK52" s="323" t="s">
        <v>111</v>
      </c>
    </row>
    <row r="53" spans="1:37" s="19" customFormat="1" ht="13.5" customHeight="1" thickBot="1">
      <c r="A53" s="72"/>
      <c r="B53" s="72"/>
      <c r="C53" s="72"/>
      <c r="D53" s="41"/>
      <c r="G53" s="193" t="s">
        <v>129</v>
      </c>
      <c r="I53" s="22">
        <f>1/(1+Nu*Kappa/(Gamma/Term))</f>
        <v>0.5548359830369264</v>
      </c>
      <c r="J53" s="41"/>
      <c r="K53" s="41"/>
      <c r="L53" s="41"/>
      <c r="M53" s="41"/>
      <c r="N53" s="41"/>
      <c r="S53" s="333">
        <f>-SUM(S54:S55)</f>
        <v>-843263.8248305967</v>
      </c>
      <c r="T53" s="13" t="s">
        <v>1</v>
      </c>
      <c r="U53" s="131">
        <f>-U51-SUM(U54:U55)</f>
        <v>-305775.1130762707</v>
      </c>
      <c r="V53" s="340">
        <f aca="true" t="shared" si="6" ref="V53:W55">V$47*AH6</f>
        <v>321655.39421217755</v>
      </c>
      <c r="W53" s="341">
        <f t="shared" si="6"/>
        <v>84227.9639713661</v>
      </c>
      <c r="X53" s="13" t="s">
        <v>1</v>
      </c>
      <c r="Y53" s="358" t="s">
        <v>144</v>
      </c>
      <c r="AA53" s="41"/>
      <c r="AC53" s="194"/>
      <c r="AD53" s="299" t="s">
        <v>119</v>
      </c>
      <c r="AE53" s="167">
        <f>-SUM(AE54:AE55)</f>
        <v>-1896981.9142399281</v>
      </c>
      <c r="AF53" s="13" t="s">
        <v>1</v>
      </c>
      <c r="AG53" s="167">
        <f>-AG51-SUM(AG54:AG55)</f>
        <v>-687862.8517556537</v>
      </c>
      <c r="AH53" s="223">
        <f aca="true" t="shared" si="7" ref="AH53:AI55">AH$47*AH6</f>
        <v>723586.6729618019</v>
      </c>
      <c r="AI53" s="224">
        <f t="shared" si="7"/>
        <v>189476.791986223</v>
      </c>
      <c r="AJ53" s="13" t="s">
        <v>1</v>
      </c>
      <c r="AK53" s="209"/>
    </row>
    <row r="54" spans="1:37" s="19" customFormat="1" ht="13.5" customHeight="1">
      <c r="A54" s="72"/>
      <c r="B54" s="72"/>
      <c r="C54" s="72"/>
      <c r="D54" s="41"/>
      <c r="I54" s="390">
        <f>Init!K19</f>
        <v>0.5131581182307065</v>
      </c>
      <c r="J54" s="41"/>
      <c r="K54" s="41"/>
      <c r="L54" s="41"/>
      <c r="M54" s="41"/>
      <c r="N54" s="41"/>
      <c r="Q54" s="41"/>
      <c r="R54" s="41"/>
      <c r="S54" s="337">
        <f>V53-U54</f>
        <v>847186.4577681641</v>
      </c>
      <c r="T54" s="24" t="s">
        <v>17</v>
      </c>
      <c r="U54" s="346">
        <f>-SUM(V54:W54)</f>
        <v>-525531.0635559866</v>
      </c>
      <c r="V54" s="342">
        <f t="shared" si="6"/>
        <v>263161.3838622522</v>
      </c>
      <c r="W54" s="343">
        <f t="shared" si="6"/>
        <v>262369.6796937345</v>
      </c>
      <c r="X54" s="24" t="s">
        <v>17</v>
      </c>
      <c r="Y54" s="359" t="s">
        <v>154</v>
      </c>
      <c r="AA54" s="41"/>
      <c r="AC54" s="194"/>
      <c r="AD54" s="300" t="s">
        <v>113</v>
      </c>
      <c r="AE54" s="175">
        <f>AH53-AG54</f>
        <v>1905806.1558588096</v>
      </c>
      <c r="AF54" s="24" t="s">
        <v>17</v>
      </c>
      <c r="AG54" s="128">
        <f>-SUM(AH54:AI54)</f>
        <v>-1182219.4828970076</v>
      </c>
      <c r="AH54" s="228">
        <f t="shared" si="7"/>
        <v>592000.2388497223</v>
      </c>
      <c r="AI54" s="229">
        <f t="shared" si="7"/>
        <v>590219.2440472853</v>
      </c>
      <c r="AJ54" s="24" t="s">
        <v>17</v>
      </c>
      <c r="AK54" s="371">
        <f>AH54*AI54</f>
        <v>349409933449.69543</v>
      </c>
    </row>
    <row r="55" spans="1:37" s="19" customFormat="1" ht="13.5" customHeight="1" thickBot="1">
      <c r="A55" s="72"/>
      <c r="B55" s="72"/>
      <c r="C55" s="72"/>
      <c r="J55" s="41"/>
      <c r="K55" s="41"/>
      <c r="L55" s="41"/>
      <c r="M55" s="41"/>
      <c r="N55" s="41"/>
      <c r="P55" s="41"/>
      <c r="S55" s="151">
        <f>W53+W55-U55</f>
        <v>-3922.632937567463</v>
      </c>
      <c r="T55" s="24" t="s">
        <v>2</v>
      </c>
      <c r="U55" s="212">
        <f>-V55</f>
        <v>-11957.648198339497</v>
      </c>
      <c r="V55" s="344">
        <f t="shared" si="6"/>
        <v>11957.648198339497</v>
      </c>
      <c r="W55" s="345">
        <f t="shared" si="6"/>
        <v>-100108.24510727306</v>
      </c>
      <c r="X55" s="24" t="s">
        <v>2</v>
      </c>
      <c r="Y55" s="358" t="s">
        <v>145</v>
      </c>
      <c r="Z55" s="41"/>
      <c r="AA55" s="41"/>
      <c r="AC55" s="194"/>
      <c r="AD55" s="299" t="s">
        <v>120</v>
      </c>
      <c r="AE55" s="151">
        <f>AI53+AI55-AG55</f>
        <v>-8824.241618881431</v>
      </c>
      <c r="AF55" s="24" t="s">
        <v>2</v>
      </c>
      <c r="AG55" s="212">
        <f>-AH55</f>
        <v>-26899.579587266846</v>
      </c>
      <c r="AH55" s="234">
        <f t="shared" si="7"/>
        <v>26899.579587266846</v>
      </c>
      <c r="AI55" s="235">
        <f t="shared" si="7"/>
        <v>-225200.61319237127</v>
      </c>
      <c r="AJ55" s="24" t="s">
        <v>2</v>
      </c>
      <c r="AK55" s="372">
        <f>AH55</f>
        <v>26899.579587266846</v>
      </c>
    </row>
    <row r="56" spans="1:39" s="19" customFormat="1" ht="13.5" customHeight="1">
      <c r="A56" s="72"/>
      <c r="B56" s="72"/>
      <c r="C56" s="72"/>
      <c r="K56" s="41"/>
      <c r="AA56" s="41"/>
      <c r="AG56" s="310" t="s">
        <v>166</v>
      </c>
      <c r="AM56" s="41"/>
    </row>
    <row r="57" spans="1:33" s="19" customFormat="1" ht="13.5" customHeight="1">
      <c r="A57" s="72"/>
      <c r="B57" s="72"/>
      <c r="C57" s="72"/>
      <c r="AG57" s="311" t="s">
        <v>130</v>
      </c>
    </row>
    <row r="58" spans="1:3" s="19" customFormat="1" ht="13.5" customHeight="1">
      <c r="A58" s="72"/>
      <c r="B58" s="72"/>
      <c r="C58" s="72"/>
    </row>
    <row r="59" spans="1:35" s="19" customFormat="1" ht="13.5" customHeight="1" thickBot="1">
      <c r="A59" s="72"/>
      <c r="B59" s="72"/>
      <c r="C59" s="72"/>
      <c r="G59" s="41"/>
      <c r="I59"/>
      <c r="Q59" s="41"/>
      <c r="R59" s="41"/>
      <c r="U59" s="385">
        <f>AG59/AG$47-U51</f>
        <v>0.00025033520068973303</v>
      </c>
      <c r="V59" s="21">
        <f>AH59/AH$47-AH4</f>
        <v>-4.414914656081237E-06</v>
      </c>
      <c r="W59" s="49">
        <f>AI59/AI$47-AI4</f>
        <v>-4.64378172182478E-06</v>
      </c>
      <c r="Z59" s="41"/>
      <c r="AG59" s="218">
        <f>-SUM(AH59:AI59)</f>
        <v>1896981.9148030751</v>
      </c>
      <c r="AH59" s="219">
        <f>-SUM(AH61:AH63)</f>
        <v>-1342486.4918615627</v>
      </c>
      <c r="AI59" s="220">
        <f>-SUM(AI61:AI63)</f>
        <v>-554495.4229415123</v>
      </c>
    </row>
    <row r="60" spans="1:35" s="19" customFormat="1" ht="13.5" customHeight="1">
      <c r="A60" s="72"/>
      <c r="B60" s="72"/>
      <c r="C60" s="72"/>
      <c r="G60" s="41"/>
      <c r="I60" s="195"/>
      <c r="O60" s="158"/>
      <c r="Q60" s="41"/>
      <c r="R60" s="41"/>
      <c r="S60" s="239" t="s">
        <v>191</v>
      </c>
      <c r="T60" s="47" t="s">
        <v>67</v>
      </c>
      <c r="U60" s="13" t="s">
        <v>1</v>
      </c>
      <c r="V60" s="24" t="s">
        <v>17</v>
      </c>
      <c r="W60" s="24" t="s">
        <v>2</v>
      </c>
      <c r="Z60" s="41"/>
      <c r="AE60" s="195" t="s">
        <v>107</v>
      </c>
      <c r="AF60" s="222" t="s">
        <v>108</v>
      </c>
      <c r="AG60" s="24" t="s">
        <v>1</v>
      </c>
      <c r="AH60" s="24" t="s">
        <v>17</v>
      </c>
      <c r="AI60" s="24" t="s">
        <v>2</v>
      </c>
    </row>
    <row r="61" spans="1:36" s="19" customFormat="1" ht="13.5" customHeight="1">
      <c r="A61" s="72"/>
      <c r="B61" s="72"/>
      <c r="C61" s="72"/>
      <c r="G61" s="41"/>
      <c r="H61" s="41"/>
      <c r="I61" s="303"/>
      <c r="J61" s="13" t="s">
        <v>1</v>
      </c>
      <c r="O61" s="158"/>
      <c r="S61" s="167">
        <f>AE61/AE$47-AE53</f>
        <v>-0.0005631472449749708</v>
      </c>
      <c r="T61" s="13" t="s">
        <v>1</v>
      </c>
      <c r="U61" s="131">
        <f>AG61/AG$47-U53</f>
        <v>59285.71447382335</v>
      </c>
      <c r="V61" s="164">
        <f aca="true" t="shared" si="8" ref="V61:W63">AH61/AH$47-AH6</f>
        <v>-870.628899863199</v>
      </c>
      <c r="W61" s="165">
        <f t="shared" si="8"/>
        <v>-8766</v>
      </c>
      <c r="X61" s="13" t="s">
        <v>1</v>
      </c>
      <c r="Y61" s="125" t="s">
        <v>75</v>
      </c>
      <c r="Z61" s="41"/>
      <c r="AE61" s="167">
        <f>-SUM(AE62:AE63)</f>
        <v>-1896981.9148030751</v>
      </c>
      <c r="AF61" s="13" t="s">
        <v>1</v>
      </c>
      <c r="AG61" s="167">
        <f>-AG59-SUM(AG62:AG63)</f>
        <v>-554495.4229415124</v>
      </c>
      <c r="AH61" s="223">
        <f>V6*$AK26</f>
        <v>632327.3049343583</v>
      </c>
      <c r="AI61" s="224">
        <f>W6*$AK27</f>
        <v>0</v>
      </c>
      <c r="AJ61" s="13" t="s">
        <v>1</v>
      </c>
    </row>
    <row r="62" spans="1:36" s="19" customFormat="1" ht="13.5" customHeight="1">
      <c r="A62" s="72"/>
      <c r="B62" s="72"/>
      <c r="C62" s="72"/>
      <c r="G62" s="319" t="s">
        <v>136</v>
      </c>
      <c r="H62" s="41"/>
      <c r="I62" s="274"/>
      <c r="J62" s="24" t="s">
        <v>17</v>
      </c>
      <c r="Q62" s="41"/>
      <c r="R62" s="41"/>
      <c r="S62" s="175">
        <f>AE62/AE$47-AE54</f>
        <v>-8824.241055734223</v>
      </c>
      <c r="T62" s="24" t="s">
        <v>17</v>
      </c>
      <c r="U62" s="386">
        <f>AG62/AG$47-U54</f>
        <v>-36644.81983130134</v>
      </c>
      <c r="V62" s="176">
        <f t="shared" si="8"/>
        <v>384.7266306886868</v>
      </c>
      <c r="W62" s="174">
        <f t="shared" si="8"/>
        <v>1948.0974839542396</v>
      </c>
      <c r="X62" s="24" t="s">
        <v>17</v>
      </c>
      <c r="Y62" s="125" t="s">
        <v>87</v>
      </c>
      <c r="Z62" s="41"/>
      <c r="AD62" s="41"/>
      <c r="AE62" s="175">
        <f>S7*$AK26</f>
        <v>1896981.9148030751</v>
      </c>
      <c r="AF62" s="24" t="s">
        <v>17</v>
      </c>
      <c r="AG62" s="128">
        <f aca="true" t="shared" si="9" ref="AG62:AI63">U7*$AK26</f>
        <v>-1264654.6098687167</v>
      </c>
      <c r="AH62" s="228">
        <f t="shared" si="9"/>
        <v>632327.3049343583</v>
      </c>
      <c r="AI62" s="229">
        <f t="shared" si="9"/>
        <v>632327.3049343583</v>
      </c>
      <c r="AJ62" s="24" t="s">
        <v>17</v>
      </c>
    </row>
    <row r="63" spans="1:36" s="19" customFormat="1" ht="13.5" customHeight="1" thickBot="1">
      <c r="A63" s="72"/>
      <c r="B63" s="72"/>
      <c r="C63" s="72"/>
      <c r="G63" s="320" t="s">
        <v>137</v>
      </c>
      <c r="H63" s="41"/>
      <c r="I63" s="250">
        <f>3*I41/Term</f>
        <v>-10998.20854594728</v>
      </c>
      <c r="J63" s="24" t="s">
        <v>2</v>
      </c>
      <c r="Q63" s="41"/>
      <c r="R63" s="41"/>
      <c r="S63" s="147">
        <f>AE63/AE$47-AE55</f>
        <v>8824.241618881431</v>
      </c>
      <c r="T63" s="24" t="s">
        <v>2</v>
      </c>
      <c r="U63" s="212">
        <f>AG63/AG$47-U55</f>
        <v>-22640.894892857206</v>
      </c>
      <c r="V63" s="182">
        <f t="shared" si="8"/>
        <v>485.9022735894275</v>
      </c>
      <c r="W63" s="183">
        <f>AI63/AI$47-AI8</f>
        <v>6817.902520689546</v>
      </c>
      <c r="X63" s="24" t="s">
        <v>2</v>
      </c>
      <c r="Y63" s="125" t="s">
        <v>76</v>
      </c>
      <c r="Z63" s="41"/>
      <c r="AD63" s="41"/>
      <c r="AE63" s="147">
        <f>S8*$AK27</f>
        <v>0</v>
      </c>
      <c r="AF63" s="24" t="s">
        <v>2</v>
      </c>
      <c r="AG63" s="233">
        <f t="shared" si="9"/>
        <v>-77831.881992846</v>
      </c>
      <c r="AH63" s="234">
        <f t="shared" si="9"/>
        <v>77831.881992846</v>
      </c>
      <c r="AI63" s="235">
        <f t="shared" si="9"/>
        <v>-77831.881992846</v>
      </c>
      <c r="AJ63" s="24" t="s">
        <v>2</v>
      </c>
    </row>
    <row r="64" spans="1:45" s="41" customFormat="1" ht="13.5" customHeight="1">
      <c r="A64" s="72"/>
      <c r="B64" s="72"/>
      <c r="C64" s="72"/>
      <c r="D64" s="19"/>
      <c r="E64" s="19"/>
      <c r="F64" s="19"/>
      <c r="P64" s="19"/>
      <c r="AB64" s="19"/>
      <c r="AC64" s="19"/>
      <c r="AD64" s="19"/>
      <c r="AO64" s="19"/>
      <c r="AS64" s="19"/>
    </row>
    <row r="65" spans="1:45" s="41" customFormat="1" ht="13.5" customHeight="1">
      <c r="A65" s="72"/>
      <c r="B65" s="72"/>
      <c r="C65" s="72"/>
      <c r="P65" s="19"/>
      <c r="Q65" s="194"/>
      <c r="AO65" s="19"/>
      <c r="AS65" s="19"/>
    </row>
    <row r="66" spans="1:45" s="41" customFormat="1" ht="13.5" customHeight="1" thickBot="1">
      <c r="A66" s="72"/>
      <c r="B66" s="72"/>
      <c r="C66" s="72"/>
      <c r="P66" s="19"/>
      <c r="S66" s="124">
        <f>SUM(S62:S63)</f>
        <v>0.0005631472085951827</v>
      </c>
      <c r="T66" s="47" t="s">
        <v>9</v>
      </c>
      <c r="U66" s="347">
        <f>SUM(U62:U63)</f>
        <v>-59285.71472415855</v>
      </c>
      <c r="V66" s="192">
        <f>SUM(V62:V63)</f>
        <v>870.6289042781143</v>
      </c>
      <c r="W66" s="197">
        <f>W62</f>
        <v>1948.0974839542396</v>
      </c>
      <c r="X66" s="19"/>
      <c r="Y66" s="184" t="s">
        <v>172</v>
      </c>
      <c r="AB66" s="19"/>
      <c r="AS66" s="19"/>
    </row>
    <row r="67" spans="1:50" s="41" customFormat="1" ht="13.5" customHeight="1">
      <c r="A67" s="72"/>
      <c r="B67" s="72"/>
      <c r="C67" s="72"/>
      <c r="S67" s="19"/>
      <c r="T67" s="19"/>
      <c r="U67" s="13" t="s">
        <v>1</v>
      </c>
      <c r="V67" s="24" t="s">
        <v>17</v>
      </c>
      <c r="W67" s="24" t="s">
        <v>2</v>
      </c>
      <c r="X67" s="19"/>
      <c r="AB67" s="19"/>
      <c r="AP67" s="19"/>
      <c r="AQ67" s="19"/>
      <c r="AR67" s="19"/>
      <c r="AT67" s="19"/>
      <c r="AU67" s="19"/>
      <c r="AV67" s="19"/>
      <c r="AW67" s="19"/>
      <c r="AX67" s="19"/>
    </row>
    <row r="68" spans="1:49" s="41" customFormat="1" ht="13.5" customHeight="1">
      <c r="A68" s="72"/>
      <c r="B68" s="72"/>
      <c r="C68" s="72"/>
      <c r="O68"/>
      <c r="AB68" s="19"/>
      <c r="AO68" s="19"/>
      <c r="AW68" s="19"/>
    </row>
    <row r="69" spans="1:49" s="41" customFormat="1" ht="13.5" customHeight="1" thickBot="1">
      <c r="A69" s="72"/>
      <c r="B69" s="72"/>
      <c r="C69" s="72"/>
      <c r="T69" s="47" t="s">
        <v>78</v>
      </c>
      <c r="U69" s="361">
        <f>S0/U66</f>
        <v>0.9999999926045545</v>
      </c>
      <c r="V69" s="240">
        <f>IF(V66&gt;V43,V43/V66,1)</f>
        <v>0.9999999949290503</v>
      </c>
      <c r="W69" s="241">
        <f>IF(W66&gt;W43,W43/W66,1)</f>
        <v>0.9999999976162455</v>
      </c>
      <c r="Y69" s="125" t="s">
        <v>90</v>
      </c>
      <c r="AB69" s="19"/>
      <c r="AS69" s="19"/>
      <c r="AW69" s="19"/>
    </row>
    <row r="70" spans="1:49" s="41" customFormat="1" ht="13.5" customHeight="1">
      <c r="A70" s="72"/>
      <c r="B70" s="72"/>
      <c r="C70" s="72"/>
      <c r="T70" s="19"/>
      <c r="U70" s="13" t="s">
        <v>1</v>
      </c>
      <c r="V70" s="24" t="s">
        <v>17</v>
      </c>
      <c r="W70" s="24" t="s">
        <v>2</v>
      </c>
      <c r="X70" s="19"/>
      <c r="Y70" s="19"/>
      <c r="AB70" s="19"/>
      <c r="AC70" s="19"/>
      <c r="AD70" s="19"/>
      <c r="AS70" s="19"/>
      <c r="AW70" s="19"/>
    </row>
    <row r="71" spans="1:49" s="41" customFormat="1" ht="13.5" customHeight="1">
      <c r="A71" s="72"/>
      <c r="B71" s="72"/>
      <c r="C71" s="72"/>
      <c r="AW71" s="19"/>
    </row>
    <row r="72" spans="1:27" s="41" customFormat="1" ht="13.5" customHeight="1">
      <c r="A72" s="72"/>
      <c r="B72" s="72"/>
      <c r="C72" s="72"/>
      <c r="S72" s="19"/>
      <c r="V72" s="19"/>
      <c r="W72" s="19"/>
      <c r="X72" s="19"/>
      <c r="Y72" s="266" t="s">
        <v>93</v>
      </c>
      <c r="Z72" s="19"/>
      <c r="AA72" s="19"/>
    </row>
    <row r="73" spans="1:44" s="41" customFormat="1" ht="13.5" customHeight="1" thickBot="1">
      <c r="A73" s="72"/>
      <c r="B73" s="72"/>
      <c r="C73" s="72"/>
      <c r="E73"/>
      <c r="H73" s="19"/>
      <c r="J73" s="19"/>
      <c r="K73" s="85">
        <f>K23+DT*(U73-V0*K23*3)</f>
        <v>0</v>
      </c>
      <c r="L73" s="86">
        <f>L23+DT*(V73-L$8*L23*3)</f>
        <v>0</v>
      </c>
      <c r="M73" s="87">
        <f>M23+DT*(W73-M$8*M23*3)</f>
        <v>0</v>
      </c>
      <c r="N73" s="19"/>
      <c r="O73"/>
      <c r="S73"/>
      <c r="U73" s="410">
        <f>-V$47*V73-W$47*W73</f>
        <v>0</v>
      </c>
      <c r="V73" s="243">
        <v>0</v>
      </c>
      <c r="W73" s="244">
        <v>0</v>
      </c>
      <c r="X73" s="19"/>
      <c r="Y73" s="184" t="s">
        <v>84</v>
      </c>
      <c r="Z73" s="19"/>
      <c r="AA73" s="19"/>
      <c r="AF73" s="19"/>
      <c r="AG73" s="218">
        <f>-SUM(AH73:AI73)</f>
        <v>0</v>
      </c>
      <c r="AH73" s="219">
        <f>AH$47*V73</f>
        <v>0</v>
      </c>
      <c r="AI73" s="220">
        <f>AI$47*W73</f>
        <v>0</v>
      </c>
      <c r="AP73"/>
      <c r="AQ73"/>
      <c r="AR73"/>
    </row>
    <row r="74" spans="1:41" s="41" customFormat="1" ht="13.5" customHeight="1">
      <c r="A74" s="72"/>
      <c r="B74" s="72"/>
      <c r="C74" s="72"/>
      <c r="E74"/>
      <c r="G74" s="19"/>
      <c r="I74" s="19"/>
      <c r="J74" s="46" t="s">
        <v>48</v>
      </c>
      <c r="K74" s="13">
        <v>0</v>
      </c>
      <c r="L74" s="24" t="s">
        <v>17</v>
      </c>
      <c r="M74" s="24" t="s">
        <v>2</v>
      </c>
      <c r="N74" s="19"/>
      <c r="O74"/>
      <c r="S74" s="195" t="s">
        <v>21</v>
      </c>
      <c r="T74" s="47" t="s">
        <v>51</v>
      </c>
      <c r="U74" s="13" t="s">
        <v>1</v>
      </c>
      <c r="V74" s="24" t="s">
        <v>17</v>
      </c>
      <c r="W74" s="24" t="s">
        <v>2</v>
      </c>
      <c r="X74" s="19"/>
      <c r="Y74" s="19"/>
      <c r="Z74" s="19"/>
      <c r="AA74" s="19"/>
      <c r="AF74" s="258" t="s">
        <v>53</v>
      </c>
      <c r="AG74" s="13" t="s">
        <v>1</v>
      </c>
      <c r="AH74" s="24" t="s">
        <v>17</v>
      </c>
      <c r="AI74" s="24" t="s">
        <v>2</v>
      </c>
      <c r="AL74" s="19"/>
      <c r="AO74"/>
    </row>
    <row r="75" spans="1:43" s="41" customFormat="1" ht="13.5" customHeight="1">
      <c r="A75" s="72"/>
      <c r="B75" s="72"/>
      <c r="C75" s="72"/>
      <c r="E75"/>
      <c r="F75" s="13" t="s">
        <v>1</v>
      </c>
      <c r="G75" s="94"/>
      <c r="I75" s="94"/>
      <c r="J75" s="13" t="s">
        <v>1</v>
      </c>
      <c r="K75" s="245">
        <f>K25+DT*(U75-V0*K25*3)</f>
        <v>19761.90476190476</v>
      </c>
      <c r="L75" s="201">
        <f aca="true" t="shared" si="10" ref="L75:M77">L25+DT*(V75-L$8*L25*3)</f>
        <v>-870.6288983877973</v>
      </c>
      <c r="M75" s="202">
        <f t="shared" si="10"/>
        <v>-2922</v>
      </c>
      <c r="N75" s="13" t="s">
        <v>1</v>
      </c>
      <c r="O75"/>
      <c r="S75" s="303">
        <f>-AG73</f>
        <v>0</v>
      </c>
      <c r="T75" s="13" t="s">
        <v>1</v>
      </c>
      <c r="U75" s="407">
        <f>-U73-SUM(U76:U77)</f>
        <v>59285.714285714275</v>
      </c>
      <c r="V75" s="264">
        <f>-V40</f>
        <v>-870.628899863199</v>
      </c>
      <c r="W75" s="365">
        <f>-W40</f>
        <v>-8766</v>
      </c>
      <c r="X75" s="13" t="s">
        <v>1</v>
      </c>
      <c r="Y75" s="227" t="s">
        <v>114</v>
      </c>
      <c r="Z75" s="19"/>
      <c r="AA75" s="19"/>
      <c r="AF75" s="13" t="s">
        <v>1</v>
      </c>
      <c r="AG75" s="167">
        <f>-SUM(AH75:AI75)</f>
        <v>133367.42881414125</v>
      </c>
      <c r="AH75" s="259">
        <f>-AH73-SUM(AH76:AH77)</f>
        <v>-91259.36802744356</v>
      </c>
      <c r="AI75" s="224">
        <f>-AI73-SUM(AI76:AI77)</f>
        <v>-42108.06078669771</v>
      </c>
      <c r="AJ75" s="13" t="s">
        <v>1</v>
      </c>
      <c r="AK75" s="19"/>
      <c r="AQ75"/>
    </row>
    <row r="76" spans="1:37" s="41" customFormat="1" ht="13.5" customHeight="1">
      <c r="A76" s="72"/>
      <c r="B76" s="72"/>
      <c r="C76" s="72"/>
      <c r="E76"/>
      <c r="F76" s="13" t="s">
        <v>17</v>
      </c>
      <c r="G76" s="98">
        <f>KI+DT*(S76-S19)</f>
        <v>82435.1262422364</v>
      </c>
      <c r="I76" s="98"/>
      <c r="J76" s="24" t="s">
        <v>17</v>
      </c>
      <c r="K76" s="248">
        <f>K26+DT*(U76-V0*K26*3)</f>
        <v>-12214.939854930932</v>
      </c>
      <c r="L76" s="249">
        <f t="shared" si="10"/>
        <v>384.7266277402101</v>
      </c>
      <c r="M76" s="204">
        <f t="shared" si="10"/>
        <v>649.3658273560278</v>
      </c>
      <c r="N76" s="24" t="s">
        <v>17</v>
      </c>
      <c r="O76"/>
      <c r="P76"/>
      <c r="R76" s="403" t="s">
        <v>115</v>
      </c>
      <c r="S76" s="274">
        <f>AH75-AG76</f>
        <v>-8824.241360606306</v>
      </c>
      <c r="T76" s="24" t="s">
        <v>17</v>
      </c>
      <c r="U76" s="411">
        <f>U$69*U62</f>
        <v>-36644.81956029657</v>
      </c>
      <c r="V76" s="246">
        <f>V$69*V62</f>
        <v>384.7266287377574</v>
      </c>
      <c r="W76" s="247">
        <f>W$69*W62</f>
        <v>1948.0974793104533</v>
      </c>
      <c r="X76" s="24" t="s">
        <v>17</v>
      </c>
      <c r="Y76" s="125" t="s">
        <v>87</v>
      </c>
      <c r="Z76" s="19"/>
      <c r="AA76" s="19"/>
      <c r="AF76" s="24" t="s">
        <v>17</v>
      </c>
      <c r="AG76" s="260">
        <f>-SUM(AH76:AI76)</f>
        <v>-82435.12666683726</v>
      </c>
      <c r="AH76" s="228">
        <f>AH$47*V76</f>
        <v>40327.06588013955</v>
      </c>
      <c r="AI76" s="229">
        <f>AI$47*W76</f>
        <v>42108.06078669771</v>
      </c>
      <c r="AJ76" s="24" t="s">
        <v>17</v>
      </c>
      <c r="AK76" s="287" t="s">
        <v>95</v>
      </c>
    </row>
    <row r="77" spans="1:37" s="41" customFormat="1" ht="13.5" customHeight="1" thickBot="1">
      <c r="A77" s="72"/>
      <c r="B77" s="72"/>
      <c r="C77" s="72"/>
      <c r="E77"/>
      <c r="F77" s="13" t="s">
        <v>2</v>
      </c>
      <c r="G77" s="99"/>
      <c r="I77" s="99">
        <f>I27+DT*(I63-3*I27/Term+S77-S20)</f>
        <v>-21236.435040096567</v>
      </c>
      <c r="J77" s="24" t="s">
        <v>2</v>
      </c>
      <c r="K77" s="253">
        <f>K27+DT*(U77-V0*K27*3)</f>
        <v>-7546.964906973827</v>
      </c>
      <c r="L77" s="205">
        <f t="shared" si="10"/>
        <v>485.90227064758705</v>
      </c>
      <c r="M77" s="206">
        <f t="shared" si="10"/>
        <v>2272.6341726439714</v>
      </c>
      <c r="N77" s="24" t="s">
        <v>2</v>
      </c>
      <c r="O77"/>
      <c r="P77"/>
      <c r="R77" s="403" t="s">
        <v>116</v>
      </c>
      <c r="S77" s="250">
        <f>AI75-AG77</f>
        <v>8824.241360606298</v>
      </c>
      <c r="T77" s="24" t="s">
        <v>2</v>
      </c>
      <c r="U77" s="412">
        <f>U$69*U63</f>
        <v>-22640.894725417704</v>
      </c>
      <c r="V77" s="251">
        <f>V$69*V63</f>
        <v>485.90227112544153</v>
      </c>
      <c r="W77" s="252">
        <f>-W73-SUM(W75:W76)</f>
        <v>6817.902520689547</v>
      </c>
      <c r="X77" s="24" t="s">
        <v>2</v>
      </c>
      <c r="Y77" s="125" t="s">
        <v>76</v>
      </c>
      <c r="Z77" s="19"/>
      <c r="AA77" s="19"/>
      <c r="AB77"/>
      <c r="AF77" s="24" t="s">
        <v>2</v>
      </c>
      <c r="AG77" s="261">
        <f>-SUM(AH77:AI77)</f>
        <v>-50932.302147304006</v>
      </c>
      <c r="AH77" s="262">
        <f>AH$47*V77</f>
        <v>50932.302147304006</v>
      </c>
      <c r="AI77" s="263">
        <f>0</f>
        <v>0</v>
      </c>
      <c r="AJ77" s="24" t="s">
        <v>2</v>
      </c>
      <c r="AK77" s="287" t="s">
        <v>96</v>
      </c>
    </row>
    <row r="78" spans="1:42" s="41" customFormat="1" ht="13.5" customHeight="1">
      <c r="A78" s="72"/>
      <c r="B78" s="72"/>
      <c r="C78" s="72"/>
      <c r="E78"/>
      <c r="G78"/>
      <c r="I78" s="191"/>
      <c r="J78" s="19"/>
      <c r="K78" s="19"/>
      <c r="L78" s="19"/>
      <c r="M78" s="19"/>
      <c r="N78" s="19"/>
      <c r="O78"/>
      <c r="P78"/>
      <c r="Q78"/>
      <c r="Z78" s="19"/>
      <c r="AA78" s="19"/>
      <c r="AB78"/>
      <c r="AF78"/>
      <c r="AH78"/>
      <c r="AI78"/>
      <c r="AL78" s="19"/>
      <c r="AP78"/>
    </row>
    <row r="79" spans="1:41" s="41" customFormat="1" ht="13.5" customHeight="1">
      <c r="A79" s="72"/>
      <c r="B79" s="72"/>
      <c r="C79" s="72"/>
      <c r="G79"/>
      <c r="I79" s="191"/>
      <c r="J79" s="19"/>
      <c r="K79" s="19"/>
      <c r="L79" s="19"/>
      <c r="M79" s="19"/>
      <c r="N79" s="19"/>
      <c r="O79"/>
      <c r="P79"/>
      <c r="Q79"/>
      <c r="Z79" s="19"/>
      <c r="AA79" s="19"/>
      <c r="AB79"/>
      <c r="AD79"/>
      <c r="AE79"/>
      <c r="AF79" s="19"/>
      <c r="AG79" s="19"/>
      <c r="AH79" s="19"/>
      <c r="AI79" s="19"/>
      <c r="AL79" s="19"/>
      <c r="AO79"/>
    </row>
    <row r="80" spans="1:45" ht="13.5" customHeight="1" thickBot="1">
      <c r="A80" s="72"/>
      <c r="B80" s="72"/>
      <c r="C80" s="72"/>
      <c r="D80" s="41"/>
      <c r="E80" s="41"/>
      <c r="F80" s="19"/>
      <c r="H80" s="41"/>
      <c r="I80" s="41"/>
      <c r="J80" s="12"/>
      <c r="K80" s="85">
        <f>K30+DT*V0*3*(K23-K30)</f>
        <v>0</v>
      </c>
      <c r="L80" s="86">
        <f>L30+DT*L$8*3*(L23-L30)</f>
        <v>0</v>
      </c>
      <c r="M80" s="87">
        <f>M30+DT*M$8*3*(M23-M30)</f>
        <v>0</v>
      </c>
      <c r="N80" s="19"/>
      <c r="R80" s="41"/>
      <c r="S80" s="388">
        <f>Init!C25</f>
        <v>0</v>
      </c>
      <c r="T80" s="254"/>
      <c r="U80" s="295">
        <f>Init!E8</f>
        <v>0</v>
      </c>
      <c r="V80" s="388">
        <f>Init!F8</f>
        <v>0</v>
      </c>
      <c r="W80" s="388">
        <f>Init!G8</f>
        <v>0</v>
      </c>
      <c r="X80" s="41"/>
      <c r="Z80" s="41"/>
      <c r="AA80" s="41"/>
      <c r="AL80" s="19"/>
      <c r="AM80" s="41"/>
      <c r="AO80" s="41"/>
      <c r="AP80" s="41"/>
      <c r="AQ80" s="41"/>
      <c r="AR80" s="41"/>
      <c r="AS80" s="41"/>
    </row>
    <row r="81" spans="1:45" ht="13.5" customHeight="1">
      <c r="A81" s="72"/>
      <c r="B81" s="72"/>
      <c r="C81" s="72"/>
      <c r="D81" s="19"/>
      <c r="E81" s="41"/>
      <c r="F81" s="19"/>
      <c r="H81" s="41"/>
      <c r="I81" s="19"/>
      <c r="J81" s="47" t="s">
        <v>49</v>
      </c>
      <c r="K81" s="13">
        <v>0</v>
      </c>
      <c r="L81" s="24" t="s">
        <v>17</v>
      </c>
      <c r="M81" s="24" t="s">
        <v>2</v>
      </c>
      <c r="N81" s="19"/>
      <c r="R81" s="41"/>
      <c r="S81" s="296" t="s">
        <v>21</v>
      </c>
      <c r="T81" s="255" t="s">
        <v>51</v>
      </c>
      <c r="U81" s="256">
        <v>0</v>
      </c>
      <c r="V81" s="257" t="s">
        <v>17</v>
      </c>
      <c r="W81" s="257" t="s">
        <v>2</v>
      </c>
      <c r="X81" s="41"/>
      <c r="Z81" s="41"/>
      <c r="AA81" s="41"/>
      <c r="AL81" s="19"/>
      <c r="AN81" s="19"/>
      <c r="AO81" s="41"/>
      <c r="AP81" s="41"/>
      <c r="AQ81" s="41"/>
      <c r="AR81" s="41"/>
      <c r="AS81" s="41"/>
    </row>
    <row r="82" spans="1:45" ht="13.5" customHeight="1">
      <c r="A82" s="72"/>
      <c r="B82" s="72"/>
      <c r="C82" s="72"/>
      <c r="D82" s="19"/>
      <c r="E82" s="41"/>
      <c r="F82" s="41"/>
      <c r="I82" s="94"/>
      <c r="J82" s="13" t="s">
        <v>1</v>
      </c>
      <c r="K82" s="245">
        <f>K32+DT*V0*3*(K25-K32)</f>
        <v>19761.90476190476</v>
      </c>
      <c r="L82" s="201">
        <f aca="true" t="shared" si="11" ref="L82:M84">L32+DT*L$8*3*(L25-L32)</f>
        <v>-870.6288950065416</v>
      </c>
      <c r="M82" s="202">
        <f t="shared" si="11"/>
        <v>-2922</v>
      </c>
      <c r="N82" s="13" t="s">
        <v>1</v>
      </c>
      <c r="O82" s="19"/>
      <c r="Q82" s="41"/>
      <c r="R82" s="41"/>
      <c r="S82" s="294">
        <f>Init!C27</f>
        <v>0</v>
      </c>
      <c r="T82" s="256" t="s">
        <v>1</v>
      </c>
      <c r="U82" s="294">
        <f>Init!E10</f>
        <v>59285.714285714275</v>
      </c>
      <c r="V82" s="294">
        <f>Init!F10</f>
        <v>-800</v>
      </c>
      <c r="W82" s="294">
        <f>Init!G10</f>
        <v>-8766</v>
      </c>
      <c r="X82" s="256" t="s">
        <v>1</v>
      </c>
      <c r="Z82" s="41"/>
      <c r="AA82" s="41"/>
      <c r="AL82" s="19"/>
      <c r="AM82" s="19"/>
      <c r="AN82" s="19"/>
      <c r="AO82" s="41"/>
      <c r="AP82" s="41"/>
      <c r="AQ82" s="41"/>
      <c r="AR82" s="41"/>
      <c r="AS82" s="41"/>
    </row>
    <row r="83" spans="1:44" ht="13.5" customHeight="1">
      <c r="A83" s="72"/>
      <c r="B83" s="72"/>
      <c r="C83" s="72"/>
      <c r="D83" s="41"/>
      <c r="E83" s="41"/>
      <c r="F83" s="304" t="s">
        <v>125</v>
      </c>
      <c r="I83" s="98"/>
      <c r="J83" s="24" t="s">
        <v>17</v>
      </c>
      <c r="K83" s="248">
        <f>K33+DT*V0*3*(K26-K33)</f>
        <v>-12214.939856821</v>
      </c>
      <c r="L83" s="249">
        <f t="shared" si="11"/>
        <v>384.726625456044</v>
      </c>
      <c r="M83" s="204">
        <f t="shared" si="11"/>
        <v>649.3658285154257</v>
      </c>
      <c r="N83" s="24" t="s">
        <v>17</v>
      </c>
      <c r="O83" s="19"/>
      <c r="Q83" s="41"/>
      <c r="R83" s="41"/>
      <c r="S83" s="389">
        <f>Init!C28</f>
        <v>-7142.857142857145</v>
      </c>
      <c r="T83" s="257" t="s">
        <v>17</v>
      </c>
      <c r="U83" s="294">
        <f>Init!E11</f>
        <v>-35714.28571428571</v>
      </c>
      <c r="V83" s="389">
        <f>Init!F11</f>
        <v>320</v>
      </c>
      <c r="W83" s="389">
        <f>Init!G11</f>
        <v>2000</v>
      </c>
      <c r="X83" s="257" t="s">
        <v>17</v>
      </c>
      <c r="Z83" s="41"/>
      <c r="AA83" s="41"/>
      <c r="AJ83" s="19"/>
      <c r="AK83" s="19"/>
      <c r="AL83" s="19"/>
      <c r="AM83" s="41"/>
      <c r="AN83" s="19"/>
      <c r="AO83" s="41"/>
      <c r="AP83" s="41"/>
      <c r="AQ83" s="41"/>
      <c r="AR83" s="41"/>
    </row>
    <row r="84" spans="1:42" ht="13.5" customHeight="1" thickBot="1">
      <c r="A84" s="72"/>
      <c r="B84" s="72"/>
      <c r="C84" s="72"/>
      <c r="D84" s="41"/>
      <c r="E84" s="41"/>
      <c r="F84" s="305" t="s">
        <v>104</v>
      </c>
      <c r="I84" s="99">
        <f>I34+DT*3*(I27-I34)/Term</f>
        <v>-21236.435085642086</v>
      </c>
      <c r="J84" s="24" t="s">
        <v>2</v>
      </c>
      <c r="K84" s="253">
        <f>K34+DT*V0*3*(K27-K34)</f>
        <v>-7546.964905083761</v>
      </c>
      <c r="L84" s="205">
        <f t="shared" si="11"/>
        <v>485.90226955049735</v>
      </c>
      <c r="M84" s="206">
        <f t="shared" si="11"/>
        <v>2272.634171484574</v>
      </c>
      <c r="N84" s="24" t="s">
        <v>2</v>
      </c>
      <c r="O84" s="19"/>
      <c r="Q84" s="41"/>
      <c r="R84" s="41"/>
      <c r="S84" s="388">
        <f>Init!C29</f>
        <v>7142.857142857138</v>
      </c>
      <c r="T84" s="257" t="s">
        <v>2</v>
      </c>
      <c r="U84" s="294">
        <f>Init!E12</f>
        <v>-23571.42857142857</v>
      </c>
      <c r="V84" s="388">
        <f>Init!F12</f>
        <v>480</v>
      </c>
      <c r="W84" s="388">
        <f>Init!G12</f>
        <v>6766</v>
      </c>
      <c r="X84" s="257" t="s">
        <v>2</v>
      </c>
      <c r="Z84" s="41"/>
      <c r="AA84" s="41"/>
      <c r="AK84" s="41"/>
      <c r="AL84" s="19"/>
      <c r="AM84" s="41"/>
      <c r="AN84" s="19"/>
      <c r="AO84" s="41"/>
      <c r="AP84" s="41"/>
    </row>
    <row r="85" spans="1:42" ht="13.5" customHeight="1">
      <c r="A85" s="72"/>
      <c r="B85" s="72"/>
      <c r="C85" s="72"/>
      <c r="D85" s="41"/>
      <c r="E85" s="41"/>
      <c r="I85" s="191"/>
      <c r="J85" s="19"/>
      <c r="K85" s="19"/>
      <c r="L85" s="19"/>
      <c r="M85" s="19"/>
      <c r="N85" s="41"/>
      <c r="Q85" s="41"/>
      <c r="R85" s="41"/>
      <c r="S85" s="41"/>
      <c r="T85" s="41"/>
      <c r="U85" s="41"/>
      <c r="V85" s="41"/>
      <c r="W85" s="41"/>
      <c r="X85" s="41"/>
      <c r="Y85" s="41"/>
      <c r="Z85" s="41"/>
      <c r="AA85" s="41"/>
      <c r="AK85" s="19"/>
      <c r="AL85" s="41"/>
      <c r="AM85" s="41"/>
      <c r="AN85" s="41"/>
      <c r="AO85" s="41"/>
      <c r="AP85" s="41"/>
    </row>
    <row r="86" spans="1:40" ht="13.5" customHeight="1">
      <c r="A86" s="72"/>
      <c r="B86" s="72"/>
      <c r="C86" s="72"/>
      <c r="D86" s="41"/>
      <c r="E86" s="41"/>
      <c r="I86" s="191"/>
      <c r="J86" s="19"/>
      <c r="K86" s="19"/>
      <c r="L86" s="19"/>
      <c r="M86" s="19"/>
      <c r="N86" s="41"/>
      <c r="Q86" s="41"/>
      <c r="R86" s="41"/>
      <c r="AK86" s="41"/>
      <c r="AL86" s="41"/>
      <c r="AM86" s="41"/>
      <c r="AN86" s="19"/>
    </row>
    <row r="87" spans="1:40" ht="13.5" customHeight="1" thickBot="1">
      <c r="A87" s="72"/>
      <c r="B87" s="72"/>
      <c r="C87" s="72"/>
      <c r="D87" s="41"/>
      <c r="F87" s="19"/>
      <c r="I87" s="41"/>
      <c r="J87" s="19"/>
      <c r="K87" s="85">
        <f>K37+DT*V0*3*(K30-K37)</f>
        <v>0</v>
      </c>
      <c r="L87" s="86">
        <f>L37+DT*L$8*3*(L30-L37)</f>
        <v>0</v>
      </c>
      <c r="M87" s="87">
        <f>M37+DT*M$8*3*(M30-M37)</f>
        <v>0</v>
      </c>
      <c r="N87" s="41"/>
      <c r="Q87" s="41"/>
      <c r="R87" s="41"/>
      <c r="S87" s="408" t="s">
        <v>192</v>
      </c>
      <c r="AK87" s="41"/>
      <c r="AL87" s="41"/>
      <c r="AM87" s="41"/>
      <c r="AN87" s="19"/>
    </row>
    <row r="88" spans="4:40" ht="13.5" customHeight="1">
      <c r="D88" s="41"/>
      <c r="F88" s="19"/>
      <c r="I88" s="19"/>
      <c r="J88" s="47" t="s">
        <v>50</v>
      </c>
      <c r="K88" s="13">
        <v>0</v>
      </c>
      <c r="L88" s="24" t="s">
        <v>17</v>
      </c>
      <c r="M88" s="24" t="s">
        <v>2</v>
      </c>
      <c r="S88" s="222" t="s">
        <v>193</v>
      </c>
      <c r="AM88" s="41"/>
      <c r="AN88" s="19"/>
    </row>
    <row r="89" spans="4:39" ht="13.5" customHeight="1">
      <c r="D89" s="41"/>
      <c r="F89" s="19"/>
      <c r="I89" s="94"/>
      <c r="J89" s="13" t="s">
        <v>1</v>
      </c>
      <c r="K89" s="245">
        <f>K39+DT*V0*3*(K32-K39)</f>
        <v>19761.90476190476</v>
      </c>
      <c r="L89" s="201">
        <f aca="true" t="shared" si="12" ref="L89:M91">L39+DT*L$8*3*(L32-L39)</f>
        <v>-870.6288872972415</v>
      </c>
      <c r="M89" s="202">
        <f t="shared" si="12"/>
        <v>-2922</v>
      </c>
      <c r="N89" s="13" t="s">
        <v>1</v>
      </c>
      <c r="Q89" s="19"/>
      <c r="R89" s="19"/>
      <c r="S89" s="167">
        <f>-SUM(S90:S91)</f>
        <v>6.521006071125157E-06</v>
      </c>
      <c r="T89" s="13" t="s">
        <v>1</v>
      </c>
      <c r="U89" s="41"/>
      <c r="AB89" s="41"/>
      <c r="AM89" s="41"/>
    </row>
    <row r="90" spans="4:28" ht="13.5" customHeight="1">
      <c r="D90" s="41"/>
      <c r="I90" s="98"/>
      <c r="J90" s="24" t="s">
        <v>17</v>
      </c>
      <c r="K90" s="248">
        <f>K40+DT*V0*3*(K33-K40)</f>
        <v>-12214.939859146876</v>
      </c>
      <c r="L90" s="249">
        <f t="shared" si="12"/>
        <v>384.72662024718096</v>
      </c>
      <c r="M90" s="204">
        <f t="shared" si="12"/>
        <v>649.3658299418076</v>
      </c>
      <c r="N90" s="24" t="s">
        <v>17</v>
      </c>
      <c r="R90" s="19"/>
      <c r="S90" s="175">
        <f>AE54/(S7/S26-1)</f>
        <v>-8824.241625402437</v>
      </c>
      <c r="T90" s="24" t="s">
        <v>17</v>
      </c>
      <c r="U90" s="41"/>
      <c r="AB90" s="41"/>
    </row>
    <row r="91" spans="4:28" ht="13.5" customHeight="1" thickBot="1">
      <c r="D91" s="41"/>
      <c r="I91" s="99">
        <f>I41+DT*3*(I34-I41)/Term</f>
        <v>-21236.434538224195</v>
      </c>
      <c r="J91" s="24" t="s">
        <v>2</v>
      </c>
      <c r="K91" s="253">
        <f>K41+DT*V0*3*(K34-K41)</f>
        <v>-7546.9649027578835</v>
      </c>
      <c r="L91" s="205">
        <f t="shared" si="12"/>
        <v>485.9022670500597</v>
      </c>
      <c r="M91" s="206">
        <f t="shared" si="12"/>
        <v>2272.6341700581925</v>
      </c>
      <c r="N91" s="24" t="s">
        <v>2</v>
      </c>
      <c r="O91" s="367"/>
      <c r="R91" s="19"/>
      <c r="S91" s="147">
        <f>AE55/(S8/S27-1)</f>
        <v>8824.241618881431</v>
      </c>
      <c r="T91" s="24" t="s">
        <v>2</v>
      </c>
      <c r="AB91" s="19"/>
    </row>
    <row r="92" spans="4:40" ht="13.5" customHeight="1">
      <c r="D92" s="41"/>
      <c r="G92" s="367"/>
      <c r="O92" s="367"/>
      <c r="R92" s="41"/>
      <c r="U92" s="41"/>
      <c r="AB92" s="41"/>
      <c r="AN92" s="41"/>
    </row>
    <row r="93" spans="4:40" ht="13.5" customHeight="1">
      <c r="D93" s="41"/>
      <c r="F93" s="275" t="s">
        <v>171</v>
      </c>
      <c r="R93" s="41"/>
      <c r="AM93" s="41"/>
      <c r="AN93" s="41"/>
    </row>
    <row r="94" spans="4:19" ht="13.5" customHeight="1" thickBot="1">
      <c r="D94" s="41"/>
      <c r="F94" s="275" t="s">
        <v>126</v>
      </c>
      <c r="G94" s="374">
        <f>LN(1-Nu)*(1-Nu)^Term+Nu*Kappa/Gamma</f>
        <v>0.3217945165676193</v>
      </c>
      <c r="I94" s="242">
        <f>Term-(1/I50-1/NPV)/G94</f>
        <v>5.792698268847799</v>
      </c>
      <c r="J94" s="19"/>
      <c r="M94" s="373">
        <f>M44+DT*S94</f>
        <v>-10418.735479692643</v>
      </c>
      <c r="Q94" s="41"/>
      <c r="R94" s="41"/>
      <c r="S94" s="377">
        <f>(S91-S20)/AI47/(1-Y27)</f>
        <v>-4.6316956817067593E-07</v>
      </c>
    </row>
    <row r="95" spans="4:13" ht="13.5" customHeight="1">
      <c r="D95" s="41"/>
      <c r="I95" s="392">
        <f>Init!C19</f>
        <v>7</v>
      </c>
      <c r="J95" s="19"/>
      <c r="K95" s="194"/>
      <c r="L95" s="194"/>
      <c r="M95" s="389">
        <f>Init!G36</f>
        <v>-10383.361156114315</v>
      </c>
    </row>
    <row r="96" ht="13.5" customHeight="1"/>
    <row r="97" spans="8:15" ht="13.5" customHeight="1">
      <c r="H97" s="367"/>
      <c r="J97" s="158"/>
      <c r="K97" s="158"/>
      <c r="N97" s="158"/>
      <c r="O97" s="367"/>
    </row>
    <row r="98" spans="8:15" ht="13.5" customHeight="1">
      <c r="H98" s="367"/>
      <c r="J98" s="367"/>
      <c r="K98" s="367"/>
      <c r="M98" s="367"/>
      <c r="N98" s="158"/>
      <c r="O98" s="362"/>
    </row>
    <row r="99" spans="4:15" ht="13.5" customHeight="1">
      <c r="D99" s="194"/>
      <c r="H99" s="367"/>
      <c r="J99" s="367"/>
      <c r="K99" s="367"/>
      <c r="L99" s="367"/>
      <c r="M99" s="367"/>
      <c r="N99" s="158"/>
      <c r="O99" s="367"/>
    </row>
    <row r="100" spans="8:15" ht="13.5" customHeight="1">
      <c r="H100" s="367"/>
      <c r="I100" s="362"/>
      <c r="N100" s="158"/>
      <c r="O100" s="367"/>
    </row>
    <row r="101" ht="13.5" customHeight="1"/>
    <row r="102" ht="13.5" customHeight="1"/>
    <row r="103" ht="13.5" customHeight="1"/>
    <row r="104" ht="13.5" customHeight="1"/>
    <row r="105" spans="8:15" ht="13.5" customHeight="1">
      <c r="H105" s="367"/>
      <c r="I105" s="367"/>
      <c r="N105" s="158"/>
      <c r="O105" s="367"/>
    </row>
    <row r="106" spans="8:15" ht="13.5" customHeight="1">
      <c r="H106" s="362"/>
      <c r="I106" s="367"/>
      <c r="N106" s="362"/>
      <c r="O106" s="367"/>
    </row>
    <row r="107" spans="8:15" ht="13.5" customHeight="1">
      <c r="H107" s="367"/>
      <c r="I107" s="158"/>
      <c r="N107" s="362"/>
      <c r="O107" s="367"/>
    </row>
    <row r="108" spans="8:15" ht="13.5" customHeight="1">
      <c r="H108" s="367"/>
      <c r="K108" s="158"/>
      <c r="L108" s="362"/>
      <c r="M108" s="362"/>
      <c r="N108" s="362"/>
      <c r="O108" s="367"/>
    </row>
    <row r="109" spans="8:15" ht="13.5" customHeight="1">
      <c r="H109" s="367"/>
      <c r="K109" s="362"/>
      <c r="L109" s="367"/>
      <c r="M109" s="367"/>
      <c r="N109" s="367"/>
      <c r="O109" s="367"/>
    </row>
    <row r="110" spans="8:15" ht="13.5" customHeight="1">
      <c r="H110" s="367"/>
      <c r="I110" s="367"/>
      <c r="J110" s="158"/>
      <c r="K110" s="362"/>
      <c r="L110" s="367"/>
      <c r="M110" s="367"/>
      <c r="N110" s="367"/>
      <c r="O110" s="367"/>
    </row>
    <row r="111" ht="13.5" customHeight="1"/>
    <row r="112" ht="13.5" customHeight="1"/>
    <row r="113" ht="13.5" customHeight="1"/>
    <row r="114" spans="8:11" ht="13.5" customHeight="1">
      <c r="H114" s="41"/>
      <c r="J114" s="41"/>
      <c r="K114" s="41"/>
    </row>
    <row r="115" spans="10:11" ht="13.5" customHeight="1">
      <c r="J115" s="41"/>
      <c r="K115" s="41"/>
    </row>
    <row r="116" spans="9:14" ht="13.5" customHeight="1">
      <c r="I116" s="41"/>
      <c r="J116" s="19"/>
      <c r="K116" s="41"/>
      <c r="L116" s="41"/>
      <c r="M116" s="41"/>
      <c r="N116" s="19"/>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70" ht="12" customHeight="1"/>
  </sheetData>
  <sheetProtection selectLockedCells="1" selectUnlockedCells="1"/>
  <printOptions horizontalCentered="1" verticalCentered="1"/>
  <pageMargins left="0.75" right="0.75" top="0.25" bottom="0.25" header="0.25" footer="0.25"/>
  <pageSetup fitToHeight="1" fitToWidth="1" orientation="landscape" paperSize="3" scale="67"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AD80"/>
  <sheetViews>
    <sheetView workbookViewId="0" topLeftCell="A1">
      <selection activeCell="A1" sqref="A1"/>
    </sheetView>
  </sheetViews>
  <sheetFormatPr defaultColWidth="9.00390625" defaultRowHeight="12.75"/>
  <cols>
    <col min="1" max="1" width="11.125" style="0" customWidth="1"/>
  </cols>
  <sheetData>
    <row r="1" spans="1:29" ht="12.75">
      <c r="A1" s="70"/>
      <c r="B1" s="70"/>
      <c r="C1" s="70"/>
      <c r="D1" s="70"/>
      <c r="E1" s="70"/>
      <c r="F1" s="70"/>
      <c r="G1" s="70"/>
      <c r="H1" s="70"/>
      <c r="I1" s="70"/>
      <c r="J1" s="70"/>
      <c r="K1" s="70"/>
      <c r="L1" s="70"/>
      <c r="M1" s="70"/>
      <c r="N1" s="71"/>
      <c r="O1" s="71"/>
      <c r="P1" s="71"/>
      <c r="Q1" s="71"/>
      <c r="R1" s="71"/>
      <c r="S1" s="71"/>
      <c r="T1" s="71"/>
      <c r="U1" s="71"/>
      <c r="V1" s="71"/>
      <c r="W1" s="71"/>
      <c r="X1" s="71"/>
      <c r="Y1" s="71"/>
      <c r="Z1" s="71"/>
      <c r="AA1" s="71"/>
      <c r="AB1" s="71"/>
      <c r="AC1" s="71"/>
    </row>
    <row r="2" spans="1:29" ht="12.75">
      <c r="A2" s="70"/>
      <c r="B2" s="70"/>
      <c r="C2" s="70"/>
      <c r="D2" s="70"/>
      <c r="E2" s="70"/>
      <c r="F2" s="70"/>
      <c r="G2" s="70"/>
      <c r="H2" s="70"/>
      <c r="I2" s="70"/>
      <c r="J2" s="70"/>
      <c r="K2" s="70"/>
      <c r="L2" s="70"/>
      <c r="M2" s="71"/>
      <c r="N2" s="71"/>
      <c r="O2" s="71"/>
      <c r="P2" s="71"/>
      <c r="Q2" s="71"/>
      <c r="R2" s="71"/>
      <c r="S2" s="71"/>
      <c r="T2" s="71"/>
      <c r="U2" s="71"/>
      <c r="V2" s="71"/>
      <c r="W2" s="71"/>
      <c r="X2" s="71"/>
      <c r="Y2" s="71"/>
      <c r="Z2" s="71"/>
      <c r="AA2" s="71"/>
      <c r="AB2" s="71"/>
      <c r="AC2" s="71"/>
    </row>
    <row r="3" spans="1:30" ht="12.75">
      <c r="A3" s="70"/>
      <c r="B3" s="70"/>
      <c r="C3" s="70"/>
      <c r="D3" s="70"/>
      <c r="E3" s="70"/>
      <c r="F3" s="70"/>
      <c r="G3" s="70"/>
      <c r="H3" s="70"/>
      <c r="I3" s="70"/>
      <c r="J3" s="70"/>
      <c r="K3" s="70"/>
      <c r="L3" s="70"/>
      <c r="M3" s="70"/>
      <c r="N3" s="71"/>
      <c r="O3" s="71"/>
      <c r="P3" s="71"/>
      <c r="Q3" s="71"/>
      <c r="R3" s="71"/>
      <c r="S3" s="71"/>
      <c r="T3" s="71"/>
      <c r="U3" s="71"/>
      <c r="V3" s="71"/>
      <c r="W3" s="71"/>
      <c r="X3" s="71"/>
      <c r="Y3" s="71"/>
      <c r="Z3" s="71"/>
      <c r="AA3" s="71"/>
      <c r="AB3" s="71"/>
      <c r="AC3" s="71"/>
      <c r="AD3" s="71"/>
    </row>
    <row r="4" spans="1:30" ht="15.75">
      <c r="A4" s="70"/>
      <c r="B4" s="74" t="s">
        <v>31</v>
      </c>
      <c r="C4" s="70"/>
      <c r="D4" s="70"/>
      <c r="E4" s="70"/>
      <c r="F4" s="70"/>
      <c r="G4" s="70"/>
      <c r="H4" s="71"/>
      <c r="I4" s="74" t="s">
        <v>34</v>
      </c>
      <c r="J4" s="70"/>
      <c r="K4" s="70"/>
      <c r="L4" s="70"/>
      <c r="M4" s="70"/>
      <c r="N4" s="71"/>
      <c r="O4" s="71"/>
      <c r="P4" s="71"/>
      <c r="Q4" s="71"/>
      <c r="R4" s="71"/>
      <c r="S4" s="71"/>
      <c r="T4" s="71"/>
      <c r="U4" s="71"/>
      <c r="V4" s="71"/>
      <c r="W4" s="71"/>
      <c r="X4" s="71"/>
      <c r="Y4" s="71"/>
      <c r="Z4" s="71"/>
      <c r="AA4" s="71"/>
      <c r="AB4" s="71"/>
      <c r="AC4" s="71"/>
      <c r="AD4" s="71"/>
    </row>
    <row r="5" spans="1:30" ht="15.75">
      <c r="A5" s="70"/>
      <c r="B5" s="74" t="s">
        <v>35</v>
      </c>
      <c r="C5" s="70"/>
      <c r="D5" s="70"/>
      <c r="E5" s="70"/>
      <c r="F5" s="70"/>
      <c r="G5" s="70"/>
      <c r="H5" s="71"/>
      <c r="I5" s="74" t="s">
        <v>41</v>
      </c>
      <c r="J5" s="70"/>
      <c r="K5" s="70"/>
      <c r="L5" s="70"/>
      <c r="M5" s="70"/>
      <c r="N5" s="71"/>
      <c r="O5" s="71"/>
      <c r="P5" s="71"/>
      <c r="Q5" s="71"/>
      <c r="R5" s="71"/>
      <c r="S5" s="71"/>
      <c r="T5" s="71"/>
      <c r="U5" s="71"/>
      <c r="V5" s="71"/>
      <c r="W5" s="71"/>
      <c r="X5" s="71"/>
      <c r="Y5" s="71"/>
      <c r="Z5" s="71"/>
      <c r="AA5" s="71"/>
      <c r="AB5" s="71"/>
      <c r="AC5" s="71"/>
      <c r="AD5" s="71"/>
    </row>
    <row r="6" spans="1:30" ht="12.75">
      <c r="A6" s="70"/>
      <c r="B6" s="70"/>
      <c r="C6" s="70"/>
      <c r="D6" s="70"/>
      <c r="E6" s="70"/>
      <c r="F6" s="70"/>
      <c r="G6" s="70"/>
      <c r="H6" s="70"/>
      <c r="I6" s="70"/>
      <c r="J6" s="70"/>
      <c r="K6" s="70"/>
      <c r="L6" s="70"/>
      <c r="M6" s="70"/>
      <c r="N6" s="71"/>
      <c r="O6" s="71"/>
      <c r="P6" s="71"/>
      <c r="Q6" s="71"/>
      <c r="R6" s="71"/>
      <c r="S6" s="71"/>
      <c r="T6" s="71"/>
      <c r="U6" s="71"/>
      <c r="V6" s="71"/>
      <c r="W6" s="71"/>
      <c r="X6" s="71"/>
      <c r="Y6" s="71"/>
      <c r="Z6" s="71"/>
      <c r="AA6" s="71"/>
      <c r="AB6" s="71"/>
      <c r="AC6" s="71"/>
      <c r="AD6" s="71"/>
    </row>
    <row r="7" spans="1:30" ht="12.75">
      <c r="A7" s="70"/>
      <c r="B7" s="70"/>
      <c r="C7" s="70"/>
      <c r="D7" s="70"/>
      <c r="E7" s="70"/>
      <c r="F7" s="70"/>
      <c r="G7" s="70"/>
      <c r="H7" s="70"/>
      <c r="I7" s="70"/>
      <c r="J7" s="70"/>
      <c r="K7" s="70"/>
      <c r="L7" s="70"/>
      <c r="M7" s="70"/>
      <c r="N7" s="71"/>
      <c r="O7" s="71"/>
      <c r="P7" s="71"/>
      <c r="Q7" s="71"/>
      <c r="R7" s="71"/>
      <c r="S7" s="71"/>
      <c r="T7" s="71"/>
      <c r="U7" s="71"/>
      <c r="V7" s="71"/>
      <c r="W7" s="71"/>
      <c r="X7" s="71"/>
      <c r="Y7" s="71"/>
      <c r="Z7" s="71"/>
      <c r="AA7" s="71"/>
      <c r="AB7" s="71"/>
      <c r="AC7" s="71"/>
      <c r="AD7" s="71"/>
    </row>
    <row r="8" spans="1:30" ht="12.75">
      <c r="A8" s="70"/>
      <c r="B8" s="70"/>
      <c r="C8" s="70">
        <v>0</v>
      </c>
      <c r="D8" s="70">
        <v>0</v>
      </c>
      <c r="E8" s="70">
        <v>0</v>
      </c>
      <c r="F8" s="70">
        <v>0</v>
      </c>
      <c r="G8" s="70">
        <v>0</v>
      </c>
      <c r="H8" s="70">
        <v>0</v>
      </c>
      <c r="I8" s="70">
        <v>0</v>
      </c>
      <c r="J8" s="70">
        <v>0</v>
      </c>
      <c r="K8" s="70">
        <v>0</v>
      </c>
      <c r="L8" s="70">
        <v>0</v>
      </c>
      <c r="M8" s="70">
        <v>0</v>
      </c>
      <c r="N8" s="71">
        <v>0</v>
      </c>
      <c r="O8" s="71"/>
      <c r="P8" s="71"/>
      <c r="Q8" s="71"/>
      <c r="R8" s="71"/>
      <c r="S8" s="71"/>
      <c r="T8" s="71"/>
      <c r="U8" s="71"/>
      <c r="V8" s="71"/>
      <c r="W8" s="71"/>
      <c r="X8" s="71"/>
      <c r="Y8" s="71"/>
      <c r="Z8" s="71"/>
      <c r="AA8" s="71"/>
      <c r="AB8" s="71"/>
      <c r="AC8" s="71"/>
      <c r="AD8" s="71"/>
    </row>
    <row r="9" spans="1:30" ht="12.75">
      <c r="A9" s="70"/>
      <c r="B9" s="70"/>
      <c r="C9" s="70">
        <v>0</v>
      </c>
      <c r="D9" s="70">
        <v>0</v>
      </c>
      <c r="E9" s="70">
        <v>0</v>
      </c>
      <c r="F9" s="70">
        <v>0</v>
      </c>
      <c r="G9" s="70">
        <v>0</v>
      </c>
      <c r="H9" s="70">
        <v>0</v>
      </c>
      <c r="I9" s="70">
        <v>0</v>
      </c>
      <c r="J9" s="70">
        <v>0</v>
      </c>
      <c r="K9" s="70">
        <v>0</v>
      </c>
      <c r="L9" s="70">
        <v>0</v>
      </c>
      <c r="M9" s="70">
        <v>0</v>
      </c>
      <c r="N9" s="71">
        <v>0</v>
      </c>
      <c r="O9" s="71"/>
      <c r="P9" s="71"/>
      <c r="Q9" s="71"/>
      <c r="R9" s="71"/>
      <c r="S9" s="71"/>
      <c r="T9" s="71"/>
      <c r="U9" s="71"/>
      <c r="V9" s="71"/>
      <c r="W9" s="71"/>
      <c r="X9" s="71"/>
      <c r="Y9" s="71"/>
      <c r="Z9" s="71"/>
      <c r="AA9" s="71"/>
      <c r="AB9" s="71"/>
      <c r="AC9" s="71"/>
      <c r="AD9" s="71"/>
    </row>
    <row r="10" spans="1:30" ht="12.75">
      <c r="A10" s="70"/>
      <c r="B10" s="70"/>
      <c r="C10" s="70">
        <v>0</v>
      </c>
      <c r="D10" s="70">
        <v>0</v>
      </c>
      <c r="E10" s="70">
        <v>0</v>
      </c>
      <c r="F10" s="70">
        <v>0</v>
      </c>
      <c r="G10" s="70">
        <v>0</v>
      </c>
      <c r="H10" s="70">
        <v>0</v>
      </c>
      <c r="I10" s="70">
        <v>0</v>
      </c>
      <c r="J10" s="70">
        <v>0</v>
      </c>
      <c r="K10" s="70">
        <v>0</v>
      </c>
      <c r="L10" s="70">
        <v>0</v>
      </c>
      <c r="M10" s="70">
        <v>0</v>
      </c>
      <c r="N10" s="71">
        <v>0</v>
      </c>
      <c r="O10" s="71"/>
      <c r="P10" s="71"/>
      <c r="Q10" s="71"/>
      <c r="R10" s="71"/>
      <c r="S10" s="71"/>
      <c r="T10" s="71"/>
      <c r="U10" s="71"/>
      <c r="V10" s="71"/>
      <c r="W10" s="71"/>
      <c r="X10" s="71"/>
      <c r="Y10" s="71"/>
      <c r="Z10" s="71"/>
      <c r="AA10" s="71"/>
      <c r="AB10" s="71"/>
      <c r="AC10" s="71"/>
      <c r="AD10" s="71"/>
    </row>
    <row r="11" spans="1:30" ht="12.75">
      <c r="A11" s="70"/>
      <c r="B11" s="70"/>
      <c r="C11" s="70">
        <v>0</v>
      </c>
      <c r="D11" s="70">
        <v>0</v>
      </c>
      <c r="E11" s="70">
        <v>0</v>
      </c>
      <c r="F11" s="70">
        <v>0</v>
      </c>
      <c r="G11" s="70">
        <v>0</v>
      </c>
      <c r="H11" s="70">
        <v>0</v>
      </c>
      <c r="I11" s="70">
        <v>0</v>
      </c>
      <c r="J11" s="70">
        <v>0</v>
      </c>
      <c r="K11" s="70">
        <v>0</v>
      </c>
      <c r="L11" s="70">
        <v>0</v>
      </c>
      <c r="M11" s="70">
        <v>0</v>
      </c>
      <c r="N11" s="71">
        <v>0</v>
      </c>
      <c r="O11" s="71"/>
      <c r="P11" s="71"/>
      <c r="Q11" s="71"/>
      <c r="R11" s="71"/>
      <c r="S11" s="71"/>
      <c r="T11" s="71"/>
      <c r="U11" s="71"/>
      <c r="V11" s="71"/>
      <c r="W11" s="71"/>
      <c r="X11" s="71"/>
      <c r="Y11" s="71"/>
      <c r="Z11" s="71"/>
      <c r="AA11" s="71"/>
      <c r="AB11" s="71"/>
      <c r="AC11" s="71"/>
      <c r="AD11" s="71"/>
    </row>
    <row r="12" spans="1:30" ht="12.75">
      <c r="A12" s="70"/>
      <c r="B12" s="70"/>
      <c r="C12" s="70">
        <v>0</v>
      </c>
      <c r="D12" s="70">
        <v>0</v>
      </c>
      <c r="E12" s="70">
        <v>0</v>
      </c>
      <c r="F12" s="70">
        <v>0</v>
      </c>
      <c r="G12" s="70">
        <v>0</v>
      </c>
      <c r="H12" s="70">
        <v>0</v>
      </c>
      <c r="I12" s="70">
        <v>0</v>
      </c>
      <c r="J12" s="70">
        <v>0</v>
      </c>
      <c r="K12" s="70">
        <v>0</v>
      </c>
      <c r="L12" s="70">
        <v>0</v>
      </c>
      <c r="M12" s="70">
        <v>0</v>
      </c>
      <c r="N12" s="71">
        <v>0</v>
      </c>
      <c r="O12" s="71"/>
      <c r="P12" s="71"/>
      <c r="Q12" s="71"/>
      <c r="R12" s="71"/>
      <c r="S12" s="71"/>
      <c r="T12" s="71"/>
      <c r="U12" s="71"/>
      <c r="V12" s="71"/>
      <c r="W12" s="71"/>
      <c r="X12" s="71"/>
      <c r="Y12" s="71"/>
      <c r="Z12" s="71"/>
      <c r="AA12" s="71"/>
      <c r="AB12" s="71"/>
      <c r="AC12" s="71"/>
      <c r="AD12" s="71"/>
    </row>
    <row r="13" spans="1:30" ht="12.75">
      <c r="A13" s="70"/>
      <c r="B13" s="70"/>
      <c r="C13" s="70">
        <v>0</v>
      </c>
      <c r="D13" s="70">
        <v>0</v>
      </c>
      <c r="E13" s="70">
        <v>0</v>
      </c>
      <c r="F13" s="70">
        <v>0</v>
      </c>
      <c r="G13" s="70">
        <v>0</v>
      </c>
      <c r="H13" s="70">
        <v>0</v>
      </c>
      <c r="I13" s="70">
        <v>0</v>
      </c>
      <c r="J13" s="70">
        <v>0</v>
      </c>
      <c r="K13" s="70">
        <v>0</v>
      </c>
      <c r="L13" s="70">
        <v>0</v>
      </c>
      <c r="M13" s="70">
        <v>0</v>
      </c>
      <c r="N13" s="71">
        <v>0</v>
      </c>
      <c r="O13" s="71"/>
      <c r="P13" s="71"/>
      <c r="Q13" s="71"/>
      <c r="R13" s="71"/>
      <c r="S13" s="71"/>
      <c r="T13" s="71"/>
      <c r="U13" s="71"/>
      <c r="V13" s="71"/>
      <c r="W13" s="71"/>
      <c r="X13" s="71"/>
      <c r="Y13" s="71"/>
      <c r="Z13" s="71"/>
      <c r="AA13" s="71"/>
      <c r="AB13" s="71"/>
      <c r="AC13" s="71"/>
      <c r="AD13" s="71"/>
    </row>
    <row r="14" spans="1:30" ht="12.75">
      <c r="A14" s="70"/>
      <c r="B14" s="70"/>
      <c r="C14" s="70">
        <v>0</v>
      </c>
      <c r="D14" s="70">
        <v>0</v>
      </c>
      <c r="E14" s="70">
        <v>0</v>
      </c>
      <c r="F14" s="70">
        <v>0</v>
      </c>
      <c r="G14" s="70">
        <v>0</v>
      </c>
      <c r="H14" s="70">
        <v>0</v>
      </c>
      <c r="I14" s="70">
        <v>0</v>
      </c>
      <c r="J14" s="70">
        <v>0</v>
      </c>
      <c r="K14" s="70">
        <v>0</v>
      </c>
      <c r="L14" s="70">
        <v>0</v>
      </c>
      <c r="M14" s="70">
        <v>0</v>
      </c>
      <c r="N14" s="71">
        <v>0</v>
      </c>
      <c r="O14" s="71"/>
      <c r="P14" s="71"/>
      <c r="Q14" s="71"/>
      <c r="R14" s="71"/>
      <c r="S14" s="71"/>
      <c r="T14" s="71"/>
      <c r="U14" s="71"/>
      <c r="V14" s="71"/>
      <c r="W14" s="71"/>
      <c r="X14" s="71"/>
      <c r="Y14" s="71"/>
      <c r="Z14" s="71"/>
      <c r="AA14" s="71"/>
      <c r="AB14" s="71"/>
      <c r="AC14" s="71"/>
      <c r="AD14" s="71"/>
    </row>
    <row r="15" spans="1:30" ht="12.75">
      <c r="A15" s="70"/>
      <c r="B15" s="70"/>
      <c r="C15" s="70">
        <v>0</v>
      </c>
      <c r="D15" s="70">
        <v>0</v>
      </c>
      <c r="E15" s="70">
        <v>0</v>
      </c>
      <c r="F15" s="70">
        <v>0</v>
      </c>
      <c r="G15" s="70">
        <v>0</v>
      </c>
      <c r="H15" s="70">
        <v>0</v>
      </c>
      <c r="I15" s="70">
        <v>0</v>
      </c>
      <c r="J15" s="70">
        <v>0</v>
      </c>
      <c r="K15" s="70">
        <v>0</v>
      </c>
      <c r="L15" s="70">
        <v>0</v>
      </c>
      <c r="M15" s="70">
        <v>0</v>
      </c>
      <c r="N15" s="71">
        <v>0</v>
      </c>
      <c r="O15" s="71"/>
      <c r="P15" s="71"/>
      <c r="Q15" s="71"/>
      <c r="R15" s="71"/>
      <c r="S15" s="71"/>
      <c r="T15" s="71"/>
      <c r="U15" s="71"/>
      <c r="V15" s="71"/>
      <c r="W15" s="71"/>
      <c r="X15" s="71"/>
      <c r="Y15" s="71"/>
      <c r="Z15" s="71"/>
      <c r="AA15" s="71"/>
      <c r="AB15" s="71"/>
      <c r="AC15" s="71"/>
      <c r="AD15" s="71"/>
    </row>
    <row r="16" spans="1:30" ht="12.75">
      <c r="A16" s="70"/>
      <c r="B16" s="70"/>
      <c r="C16" s="70">
        <v>0</v>
      </c>
      <c r="D16" s="70">
        <v>0</v>
      </c>
      <c r="E16" s="70">
        <v>0</v>
      </c>
      <c r="F16" s="70">
        <v>0</v>
      </c>
      <c r="G16" s="70">
        <v>0</v>
      </c>
      <c r="H16" s="70">
        <v>0</v>
      </c>
      <c r="I16" s="70">
        <v>0</v>
      </c>
      <c r="J16" s="70">
        <v>0</v>
      </c>
      <c r="K16" s="70">
        <v>0</v>
      </c>
      <c r="L16" s="70">
        <v>0</v>
      </c>
      <c r="M16" s="70">
        <v>0</v>
      </c>
      <c r="N16" s="71">
        <v>0</v>
      </c>
      <c r="O16" s="71"/>
      <c r="P16" s="71"/>
      <c r="Q16" s="71"/>
      <c r="R16" s="71"/>
      <c r="S16" s="71"/>
      <c r="T16" s="71"/>
      <c r="U16" s="71"/>
      <c r="V16" s="71"/>
      <c r="W16" s="71"/>
      <c r="X16" s="71"/>
      <c r="Y16" s="71"/>
      <c r="Z16" s="71"/>
      <c r="AA16" s="71"/>
      <c r="AB16" s="71"/>
      <c r="AC16" s="71"/>
      <c r="AD16" s="71"/>
    </row>
    <row r="17" spans="1:30" ht="12.75">
      <c r="A17" s="70"/>
      <c r="B17" s="70"/>
      <c r="C17" s="70">
        <v>0</v>
      </c>
      <c r="D17" s="70">
        <v>0</v>
      </c>
      <c r="E17" s="70">
        <v>0</v>
      </c>
      <c r="F17" s="70">
        <v>0</v>
      </c>
      <c r="G17" s="70">
        <v>0</v>
      </c>
      <c r="H17" s="70">
        <v>0</v>
      </c>
      <c r="I17" s="70">
        <v>0</v>
      </c>
      <c r="J17" s="70">
        <v>0</v>
      </c>
      <c r="K17" s="70">
        <v>0</v>
      </c>
      <c r="L17" s="70">
        <v>0</v>
      </c>
      <c r="M17" s="70">
        <v>0</v>
      </c>
      <c r="N17" s="71">
        <v>0</v>
      </c>
      <c r="O17" s="71"/>
      <c r="P17" s="71"/>
      <c r="Q17" s="71"/>
      <c r="R17" s="71"/>
      <c r="S17" s="71"/>
      <c r="T17" s="71"/>
      <c r="U17" s="71"/>
      <c r="V17" s="71"/>
      <c r="W17" s="71"/>
      <c r="X17" s="71"/>
      <c r="Y17" s="71"/>
      <c r="Z17" s="71"/>
      <c r="AA17" s="71"/>
      <c r="AB17" s="71"/>
      <c r="AC17" s="71"/>
      <c r="AD17" s="71"/>
    </row>
    <row r="18" spans="1:30" ht="12.75">
      <c r="A18" s="70"/>
      <c r="B18" s="70"/>
      <c r="C18" s="70">
        <v>0</v>
      </c>
      <c r="D18" s="70">
        <v>0</v>
      </c>
      <c r="E18" s="70">
        <v>0</v>
      </c>
      <c r="F18" s="70">
        <v>0</v>
      </c>
      <c r="G18" s="70">
        <v>0</v>
      </c>
      <c r="H18" s="70">
        <v>0</v>
      </c>
      <c r="I18" s="70">
        <v>0</v>
      </c>
      <c r="J18" s="70">
        <v>0</v>
      </c>
      <c r="K18" s="70">
        <v>0</v>
      </c>
      <c r="L18" s="70">
        <v>0</v>
      </c>
      <c r="M18" s="70">
        <v>0</v>
      </c>
      <c r="N18" s="71">
        <v>0</v>
      </c>
      <c r="O18" s="71"/>
      <c r="P18" s="71"/>
      <c r="Q18" s="71"/>
      <c r="R18" s="71"/>
      <c r="S18" s="71"/>
      <c r="T18" s="71"/>
      <c r="U18" s="71"/>
      <c r="V18" s="71"/>
      <c r="W18" s="71"/>
      <c r="X18" s="71"/>
      <c r="Y18" s="71"/>
      <c r="Z18" s="71"/>
      <c r="AA18" s="71"/>
      <c r="AB18" s="71"/>
      <c r="AC18" s="71"/>
      <c r="AD18" s="71"/>
    </row>
    <row r="19" spans="1:30" ht="12.75">
      <c r="A19" s="70"/>
      <c r="B19" s="70"/>
      <c r="C19" s="70">
        <v>0</v>
      </c>
      <c r="D19" s="70">
        <v>0</v>
      </c>
      <c r="E19" s="70">
        <v>0</v>
      </c>
      <c r="F19" s="70">
        <v>0</v>
      </c>
      <c r="G19" s="70">
        <v>0</v>
      </c>
      <c r="H19" s="70">
        <v>0</v>
      </c>
      <c r="I19" s="70">
        <v>0</v>
      </c>
      <c r="J19" s="70">
        <v>0</v>
      </c>
      <c r="K19" s="70">
        <v>0</v>
      </c>
      <c r="L19" s="70">
        <v>0</v>
      </c>
      <c r="M19" s="70">
        <v>0</v>
      </c>
      <c r="N19" s="71">
        <v>0</v>
      </c>
      <c r="O19" s="71"/>
      <c r="P19" s="71"/>
      <c r="Q19" s="71"/>
      <c r="R19" s="71"/>
      <c r="S19" s="71"/>
      <c r="T19" s="71"/>
      <c r="U19" s="71"/>
      <c r="V19" s="71"/>
      <c r="W19" s="71"/>
      <c r="X19" s="71"/>
      <c r="Y19" s="71"/>
      <c r="Z19" s="71"/>
      <c r="AA19" s="71"/>
      <c r="AB19" s="71"/>
      <c r="AC19" s="71"/>
      <c r="AD19" s="71"/>
    </row>
    <row r="20" spans="1:30" ht="12.75">
      <c r="A20" s="70"/>
      <c r="B20" s="70"/>
      <c r="C20" s="70">
        <v>0</v>
      </c>
      <c r="D20" s="70">
        <v>0</v>
      </c>
      <c r="E20" s="70">
        <v>0</v>
      </c>
      <c r="F20" s="70">
        <v>0</v>
      </c>
      <c r="G20" s="70">
        <v>0</v>
      </c>
      <c r="H20" s="70">
        <v>0</v>
      </c>
      <c r="I20" s="70">
        <v>0</v>
      </c>
      <c r="J20" s="70">
        <v>0</v>
      </c>
      <c r="K20" s="70">
        <v>0</v>
      </c>
      <c r="L20" s="70">
        <v>0</v>
      </c>
      <c r="M20" s="70">
        <v>0</v>
      </c>
      <c r="N20" s="71">
        <v>0</v>
      </c>
      <c r="O20" s="71"/>
      <c r="P20" s="71"/>
      <c r="Q20" s="71"/>
      <c r="R20" s="71"/>
      <c r="S20" s="71"/>
      <c r="T20" s="71"/>
      <c r="U20" s="71"/>
      <c r="V20" s="71"/>
      <c r="W20" s="71"/>
      <c r="X20" s="71"/>
      <c r="Y20" s="71"/>
      <c r="Z20" s="71"/>
      <c r="AA20" s="71"/>
      <c r="AB20" s="71"/>
      <c r="AC20" s="71"/>
      <c r="AD20" s="71"/>
    </row>
    <row r="21" spans="1:30" ht="12.75">
      <c r="A21" s="70"/>
      <c r="B21" s="70"/>
      <c r="C21" s="70">
        <v>0</v>
      </c>
      <c r="D21" s="70">
        <v>0</v>
      </c>
      <c r="E21" s="70">
        <v>0</v>
      </c>
      <c r="F21" s="70">
        <v>0</v>
      </c>
      <c r="G21" s="70">
        <v>0</v>
      </c>
      <c r="H21" s="70">
        <v>0</v>
      </c>
      <c r="I21" s="70">
        <v>0</v>
      </c>
      <c r="J21" s="70">
        <v>0</v>
      </c>
      <c r="K21" s="70">
        <v>0</v>
      </c>
      <c r="L21" s="70">
        <v>0</v>
      </c>
      <c r="M21" s="70">
        <v>0</v>
      </c>
      <c r="N21" s="71">
        <v>0</v>
      </c>
      <c r="O21" s="71"/>
      <c r="P21" s="71"/>
      <c r="Q21" s="71"/>
      <c r="R21" s="71"/>
      <c r="S21" s="71"/>
      <c r="T21" s="71"/>
      <c r="U21" s="71"/>
      <c r="V21" s="71"/>
      <c r="W21" s="71"/>
      <c r="X21" s="71"/>
      <c r="Y21" s="71"/>
      <c r="Z21" s="71"/>
      <c r="AA21" s="71"/>
      <c r="AB21" s="71"/>
      <c r="AC21" s="71"/>
      <c r="AD21" s="71"/>
    </row>
    <row r="22" spans="1:30" ht="12.75">
      <c r="A22" s="70"/>
      <c r="B22" s="70"/>
      <c r="C22" s="70">
        <v>0</v>
      </c>
      <c r="D22" s="70">
        <v>0</v>
      </c>
      <c r="E22" s="70">
        <v>0</v>
      </c>
      <c r="F22" s="70">
        <v>0</v>
      </c>
      <c r="G22" s="70">
        <v>0</v>
      </c>
      <c r="H22" s="70">
        <v>0</v>
      </c>
      <c r="I22" s="70">
        <v>0</v>
      </c>
      <c r="J22" s="70">
        <v>0</v>
      </c>
      <c r="K22" s="70">
        <v>0</v>
      </c>
      <c r="L22" s="70">
        <v>0</v>
      </c>
      <c r="M22" s="70">
        <v>0</v>
      </c>
      <c r="N22" s="71">
        <v>0</v>
      </c>
      <c r="O22" s="71"/>
      <c r="P22" s="71"/>
      <c r="Q22" s="71"/>
      <c r="R22" s="71"/>
      <c r="S22" s="71"/>
      <c r="T22" s="71"/>
      <c r="U22" s="71"/>
      <c r="V22" s="71"/>
      <c r="W22" s="71"/>
      <c r="X22" s="71"/>
      <c r="Y22" s="71"/>
      <c r="Z22" s="71"/>
      <c r="AA22" s="71"/>
      <c r="AB22" s="71"/>
      <c r="AC22" s="71"/>
      <c r="AD22" s="71"/>
    </row>
    <row r="23" spans="1:30" ht="12.75">
      <c r="A23" s="70"/>
      <c r="B23" s="70"/>
      <c r="C23" s="70">
        <v>0</v>
      </c>
      <c r="D23" s="70">
        <v>0</v>
      </c>
      <c r="E23" s="70">
        <v>0</v>
      </c>
      <c r="F23" s="70">
        <v>0</v>
      </c>
      <c r="G23" s="70">
        <v>0</v>
      </c>
      <c r="H23" s="70">
        <v>0</v>
      </c>
      <c r="I23" s="70">
        <v>0</v>
      </c>
      <c r="J23" s="70">
        <v>0</v>
      </c>
      <c r="K23" s="70">
        <v>0</v>
      </c>
      <c r="L23" s="70">
        <v>0</v>
      </c>
      <c r="M23" s="70">
        <v>0</v>
      </c>
      <c r="N23" s="71">
        <v>0</v>
      </c>
      <c r="O23" s="71"/>
      <c r="P23" s="71"/>
      <c r="Q23" s="71"/>
      <c r="R23" s="71"/>
      <c r="S23" s="71"/>
      <c r="T23" s="71"/>
      <c r="U23" s="71"/>
      <c r="V23" s="71"/>
      <c r="W23" s="71"/>
      <c r="X23" s="71"/>
      <c r="Y23" s="71"/>
      <c r="Z23" s="71"/>
      <c r="AA23" s="71"/>
      <c r="AB23" s="71"/>
      <c r="AC23" s="71"/>
      <c r="AD23" s="71"/>
    </row>
    <row r="24" spans="1:30" ht="12.75">
      <c r="A24" s="70"/>
      <c r="B24" s="70"/>
      <c r="C24" s="70">
        <v>0</v>
      </c>
      <c r="D24" s="70">
        <v>0</v>
      </c>
      <c r="E24" s="70">
        <v>0</v>
      </c>
      <c r="F24" s="70">
        <v>0</v>
      </c>
      <c r="G24" s="70">
        <v>0</v>
      </c>
      <c r="H24" s="70">
        <v>0</v>
      </c>
      <c r="I24" s="70">
        <v>0</v>
      </c>
      <c r="J24" s="70">
        <v>0</v>
      </c>
      <c r="K24" s="70">
        <v>0</v>
      </c>
      <c r="L24" s="70">
        <v>0</v>
      </c>
      <c r="M24" s="70">
        <v>0</v>
      </c>
      <c r="N24" s="71">
        <v>0</v>
      </c>
      <c r="O24" s="71"/>
      <c r="P24" s="71"/>
      <c r="Q24" s="71"/>
      <c r="R24" s="71"/>
      <c r="S24" s="71"/>
      <c r="T24" s="71"/>
      <c r="U24" s="71"/>
      <c r="V24" s="71"/>
      <c r="W24" s="71"/>
      <c r="X24" s="71"/>
      <c r="Y24" s="71"/>
      <c r="Z24" s="71"/>
      <c r="AA24" s="71"/>
      <c r="AB24" s="71"/>
      <c r="AC24" s="71"/>
      <c r="AD24" s="71"/>
    </row>
    <row r="25" spans="1:30" ht="12.75">
      <c r="A25" s="70"/>
      <c r="B25" s="70"/>
      <c r="C25" s="70">
        <v>0</v>
      </c>
      <c r="D25" s="70">
        <v>0</v>
      </c>
      <c r="E25" s="70">
        <v>0</v>
      </c>
      <c r="F25" s="70">
        <v>0</v>
      </c>
      <c r="G25" s="70">
        <v>0</v>
      </c>
      <c r="H25" s="70">
        <v>0</v>
      </c>
      <c r="I25" s="70">
        <v>0</v>
      </c>
      <c r="J25" s="70">
        <v>0</v>
      </c>
      <c r="K25" s="70">
        <v>0</v>
      </c>
      <c r="L25" s="70">
        <v>0</v>
      </c>
      <c r="M25" s="70">
        <v>0</v>
      </c>
      <c r="N25" s="71">
        <v>0</v>
      </c>
      <c r="O25" s="71"/>
      <c r="P25" s="71"/>
      <c r="Q25" s="71"/>
      <c r="R25" s="71"/>
      <c r="S25" s="71"/>
      <c r="T25" s="71"/>
      <c r="U25" s="71"/>
      <c r="V25" s="71"/>
      <c r="W25" s="71"/>
      <c r="X25" s="71"/>
      <c r="Y25" s="71"/>
      <c r="Z25" s="71"/>
      <c r="AA25" s="71"/>
      <c r="AB25" s="71"/>
      <c r="AC25" s="71"/>
      <c r="AD25" s="71"/>
    </row>
    <row r="26" spans="1:30" ht="12.75">
      <c r="A26" s="70"/>
      <c r="B26" s="70"/>
      <c r="C26" s="70">
        <v>0</v>
      </c>
      <c r="D26" s="70">
        <v>0</v>
      </c>
      <c r="E26" s="70">
        <v>0</v>
      </c>
      <c r="F26" s="70">
        <v>0</v>
      </c>
      <c r="G26" s="70">
        <v>0</v>
      </c>
      <c r="H26" s="70">
        <v>0</v>
      </c>
      <c r="I26" s="70">
        <v>0</v>
      </c>
      <c r="J26" s="70">
        <v>0</v>
      </c>
      <c r="K26" s="70">
        <v>0</v>
      </c>
      <c r="L26" s="70">
        <v>0</v>
      </c>
      <c r="M26" s="70">
        <v>0</v>
      </c>
      <c r="N26" s="71">
        <v>0</v>
      </c>
      <c r="O26" s="71"/>
      <c r="P26" s="71"/>
      <c r="Q26" s="71"/>
      <c r="R26" s="71"/>
      <c r="S26" s="71"/>
      <c r="T26" s="71"/>
      <c r="U26" s="71"/>
      <c r="V26" s="71"/>
      <c r="W26" s="71"/>
      <c r="X26" s="71"/>
      <c r="Y26" s="71"/>
      <c r="Z26" s="71"/>
      <c r="AA26" s="71"/>
      <c r="AB26" s="71"/>
      <c r="AC26" s="71"/>
      <c r="AD26" s="71"/>
    </row>
    <row r="27" spans="1:30" ht="12.75">
      <c r="A27" s="70"/>
      <c r="B27" s="70"/>
      <c r="C27" s="70">
        <v>0</v>
      </c>
      <c r="D27" s="70">
        <v>0</v>
      </c>
      <c r="E27" s="70">
        <v>0</v>
      </c>
      <c r="F27" s="70">
        <v>0</v>
      </c>
      <c r="G27" s="70">
        <v>0</v>
      </c>
      <c r="H27" s="70">
        <v>0</v>
      </c>
      <c r="I27" s="70">
        <v>0</v>
      </c>
      <c r="J27" s="70">
        <v>0</v>
      </c>
      <c r="K27" s="70">
        <v>0</v>
      </c>
      <c r="L27" s="70">
        <v>0</v>
      </c>
      <c r="M27" s="70">
        <v>0</v>
      </c>
      <c r="N27" s="71">
        <v>0</v>
      </c>
      <c r="O27" s="71"/>
      <c r="P27" s="71"/>
      <c r="Q27" s="71"/>
      <c r="R27" s="71"/>
      <c r="S27" s="71"/>
      <c r="T27" s="71"/>
      <c r="U27" s="71"/>
      <c r="V27" s="71"/>
      <c r="W27" s="71"/>
      <c r="X27" s="71"/>
      <c r="Y27" s="71"/>
      <c r="Z27" s="71"/>
      <c r="AA27" s="71"/>
      <c r="AB27" s="71"/>
      <c r="AC27" s="71"/>
      <c r="AD27" s="71"/>
    </row>
    <row r="28" spans="1:30" ht="12.75">
      <c r="A28" s="70"/>
      <c r="B28" s="70"/>
      <c r="C28" s="70">
        <v>0</v>
      </c>
      <c r="D28" s="70">
        <v>0</v>
      </c>
      <c r="E28" s="70">
        <v>0</v>
      </c>
      <c r="F28" s="70">
        <v>0</v>
      </c>
      <c r="G28" s="70">
        <v>0</v>
      </c>
      <c r="H28" s="70">
        <v>0</v>
      </c>
      <c r="I28" s="70">
        <v>0</v>
      </c>
      <c r="J28" s="70">
        <v>0</v>
      </c>
      <c r="K28" s="70">
        <v>0</v>
      </c>
      <c r="L28" s="70">
        <v>0</v>
      </c>
      <c r="M28" s="70">
        <v>0</v>
      </c>
      <c r="N28" s="71">
        <v>0</v>
      </c>
      <c r="O28" s="71"/>
      <c r="P28" s="71"/>
      <c r="Q28" s="71"/>
      <c r="R28" s="71"/>
      <c r="S28" s="71"/>
      <c r="T28" s="71"/>
      <c r="U28" s="71"/>
      <c r="V28" s="71"/>
      <c r="W28" s="71"/>
      <c r="X28" s="71"/>
      <c r="Y28" s="71"/>
      <c r="Z28" s="71"/>
      <c r="AA28" s="71"/>
      <c r="AB28" s="71"/>
      <c r="AC28" s="71"/>
      <c r="AD28" s="71"/>
    </row>
    <row r="29" spans="1:30" ht="12.75">
      <c r="A29" s="70"/>
      <c r="B29" s="70"/>
      <c r="C29" s="70">
        <v>0</v>
      </c>
      <c r="D29" s="70">
        <v>0</v>
      </c>
      <c r="E29" s="70">
        <v>0</v>
      </c>
      <c r="F29" s="70">
        <v>0</v>
      </c>
      <c r="G29" s="70">
        <v>0</v>
      </c>
      <c r="H29" s="70">
        <v>0</v>
      </c>
      <c r="I29" s="70">
        <v>0</v>
      </c>
      <c r="J29" s="70">
        <v>0</v>
      </c>
      <c r="K29" s="70">
        <v>0</v>
      </c>
      <c r="L29" s="70">
        <v>0</v>
      </c>
      <c r="M29" s="70">
        <v>0</v>
      </c>
      <c r="N29" s="71">
        <v>0</v>
      </c>
      <c r="O29" s="71"/>
      <c r="P29" s="71"/>
      <c r="Q29" s="71"/>
      <c r="R29" s="71"/>
      <c r="S29" s="71"/>
      <c r="T29" s="71"/>
      <c r="U29" s="71"/>
      <c r="V29" s="71"/>
      <c r="W29" s="71"/>
      <c r="X29" s="71"/>
      <c r="Y29" s="71"/>
      <c r="Z29" s="71"/>
      <c r="AA29" s="71"/>
      <c r="AB29" s="71"/>
      <c r="AC29" s="71"/>
      <c r="AD29" s="71"/>
    </row>
    <row r="30" spans="1:30" ht="12.75">
      <c r="A30" s="71"/>
      <c r="B30" s="71"/>
      <c r="C30" s="71">
        <v>0</v>
      </c>
      <c r="D30" s="71">
        <v>0</v>
      </c>
      <c r="E30" s="71">
        <v>0</v>
      </c>
      <c r="F30" s="71">
        <v>0</v>
      </c>
      <c r="G30" s="71">
        <v>0</v>
      </c>
      <c r="H30" s="71">
        <v>0</v>
      </c>
      <c r="I30" s="71">
        <v>0</v>
      </c>
      <c r="J30" s="71">
        <v>0</v>
      </c>
      <c r="K30" s="71">
        <v>0</v>
      </c>
      <c r="L30" s="71">
        <v>0</v>
      </c>
      <c r="M30" s="71">
        <v>0</v>
      </c>
      <c r="N30" s="71">
        <v>0</v>
      </c>
      <c r="O30" s="71"/>
      <c r="P30" s="71"/>
      <c r="Q30" s="71"/>
      <c r="R30" s="71"/>
      <c r="S30" s="71"/>
      <c r="T30" s="71"/>
      <c r="U30" s="71"/>
      <c r="V30" s="71"/>
      <c r="W30" s="71"/>
      <c r="X30" s="71"/>
      <c r="Y30" s="71"/>
      <c r="Z30" s="71"/>
      <c r="AA30" s="71"/>
      <c r="AB30" s="71"/>
      <c r="AC30" s="71"/>
      <c r="AD30" s="71"/>
    </row>
    <row r="31" spans="1:30" ht="12.75">
      <c r="A31" s="71"/>
      <c r="B31" s="71"/>
      <c r="C31" s="71">
        <v>0</v>
      </c>
      <c r="D31" s="71">
        <v>0</v>
      </c>
      <c r="E31" s="71">
        <v>0</v>
      </c>
      <c r="F31" s="71">
        <v>0</v>
      </c>
      <c r="G31" s="71">
        <v>0</v>
      </c>
      <c r="H31" s="71">
        <v>0</v>
      </c>
      <c r="I31" s="71">
        <v>0</v>
      </c>
      <c r="J31" s="71">
        <v>0</v>
      </c>
      <c r="K31" s="71">
        <v>0</v>
      </c>
      <c r="L31" s="71">
        <v>0</v>
      </c>
      <c r="M31" s="71">
        <v>0</v>
      </c>
      <c r="N31" s="71">
        <v>0</v>
      </c>
      <c r="O31" s="71"/>
      <c r="P31" s="71"/>
      <c r="Q31" s="71"/>
      <c r="R31" s="71"/>
      <c r="S31" s="71"/>
      <c r="T31" s="71"/>
      <c r="U31" s="71"/>
      <c r="V31" s="71"/>
      <c r="W31" s="71"/>
      <c r="X31" s="71"/>
      <c r="Y31" s="71"/>
      <c r="Z31" s="71"/>
      <c r="AA31" s="71"/>
      <c r="AB31" s="71"/>
      <c r="AC31" s="71"/>
      <c r="AD31" s="71"/>
    </row>
    <row r="32" spans="1:30" ht="12.75">
      <c r="A32" s="71"/>
      <c r="B32" s="71"/>
      <c r="C32" s="71">
        <v>0</v>
      </c>
      <c r="D32" s="71">
        <v>0</v>
      </c>
      <c r="E32" s="71">
        <v>0</v>
      </c>
      <c r="F32" s="71">
        <v>0</v>
      </c>
      <c r="G32" s="71">
        <v>0</v>
      </c>
      <c r="H32" s="71">
        <v>0</v>
      </c>
      <c r="I32" s="71">
        <v>0</v>
      </c>
      <c r="J32" s="71">
        <v>0</v>
      </c>
      <c r="K32" s="71">
        <v>0</v>
      </c>
      <c r="L32" s="71">
        <v>0</v>
      </c>
      <c r="M32" s="71">
        <v>0</v>
      </c>
      <c r="N32" s="71">
        <v>0</v>
      </c>
      <c r="O32" s="71"/>
      <c r="P32" s="71"/>
      <c r="Q32" s="71"/>
      <c r="R32" s="71"/>
      <c r="S32" s="71"/>
      <c r="T32" s="71"/>
      <c r="U32" s="71"/>
      <c r="V32" s="71"/>
      <c r="W32" s="71"/>
      <c r="X32" s="71"/>
      <c r="Y32" s="71"/>
      <c r="Z32" s="71"/>
      <c r="AA32" s="71"/>
      <c r="AB32" s="71"/>
      <c r="AC32" s="71"/>
      <c r="AD32" s="71"/>
    </row>
    <row r="33" spans="1:30" ht="12.75">
      <c r="A33" s="71"/>
      <c r="B33" s="71"/>
      <c r="C33" s="71">
        <v>0</v>
      </c>
      <c r="D33" s="71">
        <v>0</v>
      </c>
      <c r="E33" s="71">
        <v>0</v>
      </c>
      <c r="F33" s="71">
        <v>0</v>
      </c>
      <c r="G33" s="71">
        <v>0</v>
      </c>
      <c r="H33" s="71">
        <v>0</v>
      </c>
      <c r="I33" s="71">
        <v>0</v>
      </c>
      <c r="J33" s="71">
        <v>0</v>
      </c>
      <c r="K33" s="71">
        <v>0</v>
      </c>
      <c r="L33" s="71">
        <v>0</v>
      </c>
      <c r="M33" s="71">
        <v>0</v>
      </c>
      <c r="N33" s="71">
        <v>0</v>
      </c>
      <c r="O33" s="71"/>
      <c r="P33" s="71"/>
      <c r="Q33" s="71"/>
      <c r="R33" s="71"/>
      <c r="S33" s="71"/>
      <c r="T33" s="71"/>
      <c r="U33" s="71"/>
      <c r="V33" s="71"/>
      <c r="W33" s="71"/>
      <c r="X33" s="71"/>
      <c r="Y33" s="71"/>
      <c r="Z33" s="71"/>
      <c r="AA33" s="71"/>
      <c r="AB33" s="71"/>
      <c r="AC33" s="71"/>
      <c r="AD33" s="71"/>
    </row>
    <row r="34" spans="1:30" ht="12.75">
      <c r="A34" s="71"/>
      <c r="B34" s="71"/>
      <c r="C34" s="71">
        <v>0</v>
      </c>
      <c r="D34" s="71">
        <v>0</v>
      </c>
      <c r="E34" s="71">
        <v>0</v>
      </c>
      <c r="F34" s="71">
        <v>0</v>
      </c>
      <c r="G34" s="71">
        <v>0</v>
      </c>
      <c r="H34" s="71">
        <v>0</v>
      </c>
      <c r="I34" s="71">
        <v>0</v>
      </c>
      <c r="J34" s="71">
        <v>0</v>
      </c>
      <c r="K34" s="71">
        <v>0</v>
      </c>
      <c r="L34" s="71">
        <v>0</v>
      </c>
      <c r="M34" s="71">
        <v>0</v>
      </c>
      <c r="N34" s="71">
        <v>0</v>
      </c>
      <c r="O34" s="71"/>
      <c r="P34" s="71"/>
      <c r="Q34" s="71"/>
      <c r="R34" s="71"/>
      <c r="S34" s="71"/>
      <c r="T34" s="71"/>
      <c r="U34" s="71"/>
      <c r="V34" s="71"/>
      <c r="W34" s="71"/>
      <c r="X34" s="71"/>
      <c r="Y34" s="71"/>
      <c r="Z34" s="71"/>
      <c r="AA34" s="71"/>
      <c r="AB34" s="71"/>
      <c r="AC34" s="71"/>
      <c r="AD34" s="71"/>
    </row>
    <row r="35" spans="1:30" ht="12.75">
      <c r="A35" s="71"/>
      <c r="B35" s="71"/>
      <c r="C35" s="71">
        <v>0</v>
      </c>
      <c r="D35" s="71">
        <v>0</v>
      </c>
      <c r="E35" s="71">
        <v>0</v>
      </c>
      <c r="F35" s="71">
        <v>0</v>
      </c>
      <c r="G35" s="71">
        <v>0</v>
      </c>
      <c r="H35" s="71">
        <v>0</v>
      </c>
      <c r="I35" s="71">
        <v>0</v>
      </c>
      <c r="J35" s="71">
        <v>0</v>
      </c>
      <c r="K35" s="71">
        <v>0</v>
      </c>
      <c r="L35" s="71">
        <v>0</v>
      </c>
      <c r="M35" s="71">
        <v>0</v>
      </c>
      <c r="N35" s="71">
        <v>0</v>
      </c>
      <c r="O35" s="71"/>
      <c r="P35" s="71"/>
      <c r="Q35" s="71"/>
      <c r="R35" s="71"/>
      <c r="S35" s="71"/>
      <c r="T35" s="71"/>
      <c r="U35" s="71"/>
      <c r="V35" s="71"/>
      <c r="W35" s="71"/>
      <c r="X35" s="71"/>
      <c r="Y35" s="71"/>
      <c r="Z35" s="71"/>
      <c r="AA35" s="71"/>
      <c r="AB35" s="71"/>
      <c r="AC35" s="71"/>
      <c r="AD35" s="71"/>
    </row>
    <row r="36" spans="1:30" ht="12.75">
      <c r="A36" s="71"/>
      <c r="B36" s="71"/>
      <c r="C36" s="71">
        <v>0</v>
      </c>
      <c r="D36" s="71">
        <v>0</v>
      </c>
      <c r="E36" s="71">
        <v>0</v>
      </c>
      <c r="F36" s="71">
        <v>0</v>
      </c>
      <c r="G36" s="71">
        <v>0</v>
      </c>
      <c r="H36" s="71">
        <v>0</v>
      </c>
      <c r="I36" s="71">
        <v>0</v>
      </c>
      <c r="J36" s="71">
        <v>0</v>
      </c>
      <c r="K36" s="71">
        <v>0</v>
      </c>
      <c r="L36" s="71">
        <v>0</v>
      </c>
      <c r="M36" s="71">
        <v>0</v>
      </c>
      <c r="N36" s="71">
        <v>0</v>
      </c>
      <c r="O36" s="71"/>
      <c r="P36" s="71"/>
      <c r="Q36" s="71"/>
      <c r="R36" s="71"/>
      <c r="S36" s="71"/>
      <c r="T36" s="71"/>
      <c r="U36" s="71"/>
      <c r="V36" s="71"/>
      <c r="W36" s="71"/>
      <c r="X36" s="71"/>
      <c r="Y36" s="71"/>
      <c r="Z36" s="71"/>
      <c r="AA36" s="71"/>
      <c r="AB36" s="71"/>
      <c r="AC36" s="71"/>
      <c r="AD36" s="71"/>
    </row>
    <row r="37" spans="1:30" ht="12.75">
      <c r="A37" s="71"/>
      <c r="B37" s="71"/>
      <c r="C37" s="71">
        <v>0</v>
      </c>
      <c r="D37" s="71">
        <v>0</v>
      </c>
      <c r="E37" s="71">
        <v>0</v>
      </c>
      <c r="F37" s="71">
        <v>0</v>
      </c>
      <c r="G37" s="71">
        <v>0</v>
      </c>
      <c r="H37" s="71">
        <v>0</v>
      </c>
      <c r="I37" s="71">
        <v>0</v>
      </c>
      <c r="J37" s="71">
        <v>0</v>
      </c>
      <c r="K37" s="71">
        <v>0</v>
      </c>
      <c r="L37" s="71">
        <v>0</v>
      </c>
      <c r="M37" s="71">
        <v>0</v>
      </c>
      <c r="N37" s="71">
        <v>0</v>
      </c>
      <c r="O37" s="71"/>
      <c r="P37" s="71"/>
      <c r="Q37" s="71"/>
      <c r="R37" s="71"/>
      <c r="S37" s="71"/>
      <c r="T37" s="71"/>
      <c r="U37" s="71"/>
      <c r="V37" s="71"/>
      <c r="W37" s="71"/>
      <c r="X37" s="71"/>
      <c r="Y37" s="71"/>
      <c r="Z37" s="71"/>
      <c r="AA37" s="71"/>
      <c r="AB37" s="71"/>
      <c r="AC37" s="71"/>
      <c r="AD37" s="71"/>
    </row>
    <row r="38" spans="1:30" ht="12.75">
      <c r="A38" s="71"/>
      <c r="B38" s="71"/>
      <c r="C38" s="71">
        <v>0</v>
      </c>
      <c r="D38" s="71">
        <v>0</v>
      </c>
      <c r="E38" s="71">
        <v>0</v>
      </c>
      <c r="F38" s="71">
        <v>0</v>
      </c>
      <c r="G38" s="71">
        <v>0</v>
      </c>
      <c r="H38" s="71">
        <v>0</v>
      </c>
      <c r="I38" s="71">
        <v>0</v>
      </c>
      <c r="J38" s="71">
        <v>0</v>
      </c>
      <c r="K38" s="71">
        <v>0</v>
      </c>
      <c r="L38" s="71">
        <v>0</v>
      </c>
      <c r="M38" s="71">
        <v>0</v>
      </c>
      <c r="N38" s="71">
        <v>0</v>
      </c>
      <c r="O38" s="71"/>
      <c r="P38" s="71"/>
      <c r="Q38" s="71"/>
      <c r="R38" s="71"/>
      <c r="S38" s="71"/>
      <c r="T38" s="71"/>
      <c r="U38" s="71"/>
      <c r="V38" s="71"/>
      <c r="W38" s="71"/>
      <c r="X38" s="71"/>
      <c r="Y38" s="71"/>
      <c r="Z38" s="71"/>
      <c r="AA38" s="71"/>
      <c r="AB38" s="71"/>
      <c r="AC38" s="71"/>
      <c r="AD38" s="71"/>
    </row>
    <row r="39" spans="1:30" ht="12.7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0" ht="12.7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row>
    <row r="41" spans="1:30" ht="12.7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row>
    <row r="42" spans="1:30" ht="12.7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row>
    <row r="43" spans="1:30" ht="12.75">
      <c r="A43" s="71"/>
      <c r="B43" s="71"/>
      <c r="C43" s="71"/>
      <c r="D43" s="71"/>
      <c r="E43" s="71"/>
      <c r="F43" s="71"/>
      <c r="G43" s="71"/>
      <c r="H43" s="71"/>
      <c r="I43" s="71"/>
      <c r="J43" s="71"/>
      <c r="K43" s="71"/>
      <c r="L43" s="71"/>
      <c r="M43" s="72"/>
      <c r="N43" s="71"/>
      <c r="O43" s="71"/>
      <c r="P43" s="71"/>
      <c r="Q43" s="71"/>
      <c r="R43" s="71"/>
      <c r="S43" s="71"/>
      <c r="T43" s="71"/>
      <c r="U43" s="71"/>
      <c r="V43" s="71"/>
      <c r="W43" s="71"/>
      <c r="X43" s="71"/>
      <c r="Y43" s="71"/>
      <c r="Z43" s="71"/>
      <c r="AA43" s="71"/>
      <c r="AB43" s="71"/>
      <c r="AC43" s="71"/>
      <c r="AD43" s="71"/>
    </row>
    <row r="44" spans="1:30" ht="12.75">
      <c r="A44" s="71"/>
      <c r="B44" s="71"/>
      <c r="C44" s="71"/>
      <c r="D44" s="71"/>
      <c r="E44" s="71"/>
      <c r="F44" s="71"/>
      <c r="G44" s="71"/>
      <c r="H44" s="71"/>
      <c r="I44" s="71"/>
      <c r="J44" s="71"/>
      <c r="K44" s="71"/>
      <c r="L44" s="71"/>
      <c r="M44" s="72"/>
      <c r="N44" s="71"/>
      <c r="O44" s="71"/>
      <c r="P44" s="71"/>
      <c r="Q44" s="71"/>
      <c r="R44" s="71"/>
      <c r="S44" s="71"/>
      <c r="T44" s="71"/>
      <c r="U44" s="71"/>
      <c r="V44" s="71"/>
      <c r="W44" s="71"/>
      <c r="X44" s="71"/>
      <c r="Y44" s="71"/>
      <c r="Z44" s="71"/>
      <c r="AA44" s="71"/>
      <c r="AB44" s="71"/>
      <c r="AC44" s="71"/>
      <c r="AD44" s="71"/>
    </row>
    <row r="45" spans="1:30" ht="15.75">
      <c r="A45" s="71"/>
      <c r="B45" s="74" t="s">
        <v>32</v>
      </c>
      <c r="C45" s="71"/>
      <c r="D45" s="71"/>
      <c r="E45" s="71"/>
      <c r="F45" s="71"/>
      <c r="G45" s="71"/>
      <c r="H45" s="71"/>
      <c r="I45" s="74" t="s">
        <v>33</v>
      </c>
      <c r="J45" s="71"/>
      <c r="K45" s="71"/>
      <c r="L45" s="71"/>
      <c r="M45" s="72"/>
      <c r="N45" s="71"/>
      <c r="O45" s="71"/>
      <c r="P45" s="71"/>
      <c r="Q45" s="71"/>
      <c r="R45" s="71"/>
      <c r="S45" s="71"/>
      <c r="T45" s="71"/>
      <c r="U45" s="71"/>
      <c r="V45" s="71"/>
      <c r="W45" s="71"/>
      <c r="X45" s="71"/>
      <c r="Y45" s="71"/>
      <c r="Z45" s="71"/>
      <c r="AA45" s="71"/>
      <c r="AB45" s="71"/>
      <c r="AC45" s="71"/>
      <c r="AD45" s="71"/>
    </row>
    <row r="46" spans="1:30" ht="15.75">
      <c r="A46" s="71"/>
      <c r="B46" s="74" t="s">
        <v>39</v>
      </c>
      <c r="C46" s="71"/>
      <c r="D46" s="71"/>
      <c r="E46" s="71"/>
      <c r="F46" s="71"/>
      <c r="G46" s="71"/>
      <c r="H46" s="71"/>
      <c r="I46" s="74" t="s">
        <v>35</v>
      </c>
      <c r="J46" s="71"/>
      <c r="K46" s="71"/>
      <c r="L46" s="71"/>
      <c r="M46" s="71"/>
      <c r="N46" s="71"/>
      <c r="O46" s="71"/>
      <c r="P46" s="71"/>
      <c r="Q46" s="71"/>
      <c r="R46" s="71"/>
      <c r="S46" s="71"/>
      <c r="T46" s="71"/>
      <c r="U46" s="71"/>
      <c r="V46" s="71"/>
      <c r="W46" s="71"/>
      <c r="X46" s="71"/>
      <c r="Y46" s="71"/>
      <c r="Z46" s="71"/>
      <c r="AA46" s="71"/>
      <c r="AB46" s="71"/>
      <c r="AC46" s="71"/>
      <c r="AD46" s="71"/>
    </row>
    <row r="47" spans="1:30" ht="12">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row>
    <row r="48" spans="1:30" ht="12">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row>
    <row r="49" spans="1:30" ht="12">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row>
    <row r="50" spans="1:30" ht="12">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row>
    <row r="51" spans="1:30" ht="12">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row>
    <row r="52" spans="1:30" ht="12">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row>
    <row r="53" spans="1:30" ht="12">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row>
    <row r="54" spans="1:30" ht="12">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row>
    <row r="55" spans="1:30" ht="12">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row>
    <row r="56" spans="1:30" ht="12">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row>
    <row r="57" spans="1:30" ht="12">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row>
    <row r="58" spans="1:30" ht="12">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row>
    <row r="59" spans="1:30" ht="12">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row>
    <row r="60" spans="1:30" ht="12">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row>
    <row r="61" spans="1:30" ht="12">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row>
    <row r="62" spans="1:30" ht="12">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row>
    <row r="63" spans="1:30" ht="12">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row>
    <row r="64" spans="1:30" ht="12">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row>
    <row r="65" spans="1:30" ht="12">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row>
    <row r="66" spans="1:30" ht="12">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row>
    <row r="67" spans="1:30" ht="12">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row>
    <row r="68" spans="1:30" ht="12">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row>
    <row r="69" spans="1:30" ht="12">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row>
    <row r="70" spans="1:30" ht="12">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row>
    <row r="71" spans="1:30" ht="12">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row>
    <row r="72" spans="1:30" ht="12">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row>
    <row r="73" spans="1:30" ht="12">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row>
    <row r="74" spans="1:30" ht="12">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row>
    <row r="75" spans="1:30" ht="12">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row>
    <row r="76" spans="1:30" ht="12">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row>
    <row r="77" spans="1:30" ht="12">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row>
    <row r="78" spans="1:30" ht="12">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row>
    <row r="79" spans="1:30" ht="12">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row>
    <row r="80" spans="1:30" ht="12">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row>
    <row r="81" s="71" customFormat="1" ht="12"/>
    <row r="82" s="71" customFormat="1" ht="12"/>
    <row r="83" s="71" customFormat="1" ht="12"/>
    <row r="84" s="71" customFormat="1" ht="12"/>
    <row r="85" s="71" customFormat="1" ht="12"/>
    <row r="86" s="71" customFormat="1" ht="12"/>
    <row r="87" s="71" customFormat="1" ht="12"/>
    <row r="88" s="71" customFormat="1" ht="12"/>
    <row r="89" s="71" customFormat="1" ht="12"/>
    <row r="90" s="71" customFormat="1" ht="12"/>
    <row r="91" s="71" customFormat="1" ht="12"/>
    <row r="92" s="71" customFormat="1" ht="12"/>
    <row r="93" s="71" customFormat="1" ht="12"/>
    <row r="94" s="71" customFormat="1" ht="12"/>
    <row r="95" s="71" customFormat="1" ht="12"/>
    <row r="96" s="71" customFormat="1" ht="12"/>
    <row r="97" s="71" customFormat="1" ht="12"/>
    <row r="98" s="71" customFormat="1" ht="12"/>
    <row r="99" s="71" customFormat="1" ht="12"/>
    <row r="100" s="71" customFormat="1" ht="12"/>
    <row r="101" s="71" customFormat="1" ht="12"/>
    <row r="102" s="71" customFormat="1" ht="12"/>
    <row r="103" s="71" customFormat="1" ht="12"/>
    <row r="104" s="71" customFormat="1" ht="12"/>
    <row r="105" s="71" customFormat="1" ht="12"/>
    <row r="106" s="71" customFormat="1" ht="12"/>
    <row r="107" s="71" customFormat="1" ht="12"/>
    <row r="108" s="71" customFormat="1" ht="12"/>
    <row r="109" s="71" customFormat="1" ht="12"/>
    <row r="110" s="71" customFormat="1" ht="12"/>
    <row r="111" s="71" customFormat="1" ht="12"/>
    <row r="112" s="71" customFormat="1" ht="12"/>
    <row r="113" s="71" customFormat="1" ht="12"/>
    <row r="114" s="71" customFormat="1" ht="12"/>
    <row r="115" s="71" customFormat="1" ht="12"/>
    <row r="116" s="71" customFormat="1" ht="12"/>
    <row r="117" s="71" customFormat="1" ht="12"/>
    <row r="118" s="71" customFormat="1" ht="12"/>
    <row r="119" s="71" customFormat="1" ht="12"/>
    <row r="120" s="71" customFormat="1" ht="12"/>
    <row r="121" s="71" customFormat="1" ht="12"/>
    <row r="122" s="71" customFormat="1" ht="12"/>
    <row r="123" s="71" customFormat="1" ht="12"/>
    <row r="124" s="71" customFormat="1" ht="12"/>
    <row r="125" s="71" customFormat="1" ht="12"/>
    <row r="126" s="71" customFormat="1" ht="12"/>
    <row r="127" s="71" customFormat="1" ht="12"/>
    <row r="128" s="71" customFormat="1" ht="12"/>
    <row r="129" s="71" customFormat="1" ht="12"/>
    <row r="130" s="71" customFormat="1" ht="12"/>
    <row r="131" s="71" customFormat="1" ht="12"/>
    <row r="132" s="71" customFormat="1" ht="12"/>
    <row r="133" s="71" customFormat="1" ht="12"/>
    <row r="134" s="71" customFormat="1" ht="12"/>
    <row r="135" s="71" customFormat="1" ht="12"/>
    <row r="136" s="71" customFormat="1" ht="12"/>
    <row r="137" s="71" customFormat="1" ht="12"/>
    <row r="138" s="71" customFormat="1" ht="12"/>
    <row r="139" s="71" customFormat="1" ht="12"/>
    <row r="140" s="71" customFormat="1" ht="12"/>
    <row r="141" s="71" customFormat="1" ht="12"/>
    <row r="142" s="71" customFormat="1" ht="12"/>
    <row r="143" s="71" customFormat="1" ht="12"/>
    <row r="144" s="71" customFormat="1" ht="12"/>
    <row r="145" s="71" customFormat="1" ht="12"/>
    <row r="146" s="71" customFormat="1" ht="12"/>
    <row r="147" s="71" customFormat="1" ht="12"/>
    <row r="148" s="71" customFormat="1" ht="12"/>
    <row r="149" s="71" customFormat="1" ht="12"/>
    <row r="150" s="71" customFormat="1" ht="12"/>
    <row r="151" s="71" customFormat="1" ht="12"/>
    <row r="152" s="71" customFormat="1" ht="12"/>
    <row r="153" s="71" customFormat="1" ht="12"/>
    <row r="154" s="71" customFormat="1" ht="12"/>
    <row r="155" s="71" customFormat="1" ht="12"/>
    <row r="156" s="71" customFormat="1" ht="12"/>
    <row r="157" s="71" customFormat="1" ht="12"/>
    <row r="158" s="71" customFormat="1" ht="12"/>
    <row r="159" s="71" customFormat="1" ht="12"/>
    <row r="160" s="71" customFormat="1" ht="12"/>
    <row r="161" s="71" customFormat="1" ht="12"/>
    <row r="162" s="71" customFormat="1" ht="12"/>
  </sheetData>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61"/>
  <dimension ref="A4:V53"/>
  <sheetViews>
    <sheetView showGridLines="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9.00390625" defaultRowHeight="12.75"/>
  <cols>
    <col min="1" max="1" width="3.375" style="0" customWidth="1"/>
    <col min="2" max="2" width="2.625" style="0" customWidth="1"/>
    <col min="3" max="3" width="7.25390625" style="0" customWidth="1"/>
    <col min="7" max="7" width="10.00390625" style="0" customWidth="1"/>
    <col min="8" max="8" width="9.625" style="0" customWidth="1"/>
    <col min="35" max="35" width="11.875" style="0" bestFit="1" customWidth="1"/>
    <col min="36" max="36" width="10.875" style="0" bestFit="1" customWidth="1"/>
  </cols>
  <sheetData>
    <row r="4" ht="12">
      <c r="B4" t="s">
        <v>10</v>
      </c>
    </row>
    <row r="5" spans="3:14" ht="12">
      <c r="C5" s="64">
        <f>TicToc</f>
        <v>30.000591278076172</v>
      </c>
      <c r="D5" s="65">
        <f>'1 DT'!Y19</f>
        <v>870.628899863199</v>
      </c>
      <c r="E5" s="65">
        <f>'1 DT'!V43</f>
        <v>870.628899863199</v>
      </c>
      <c r="F5" s="65">
        <f>'1 DT'!V66</f>
        <v>870.6289042781143</v>
      </c>
      <c r="G5" s="66">
        <f>-Nu</f>
        <v>0.10704467898534098</v>
      </c>
      <c r="H5" s="67">
        <f>Chi</f>
        <v>0.44452918528138463</v>
      </c>
      <c r="I5" s="68">
        <f>'1 DT'!AH47</f>
        <v>104.82005368967542</v>
      </c>
      <c r="J5" s="68">
        <f>'1 DT'!AH39</f>
        <v>104.82005365855804</v>
      </c>
      <c r="K5" s="68">
        <f>'1 DT'!AH40</f>
        <v>104.82005376691436</v>
      </c>
      <c r="L5" s="68">
        <f>'1 DT'!AH41</f>
        <v>104.82005635086766</v>
      </c>
      <c r="M5" s="68">
        <f>Init!F15</f>
        <v>98.21428571428571</v>
      </c>
      <c r="N5" s="69"/>
    </row>
    <row r="7" spans="1:13" ht="18.75">
      <c r="A7" t="s">
        <v>14</v>
      </c>
      <c r="C7" s="2" t="s">
        <v>13</v>
      </c>
      <c r="D7" s="3" t="s">
        <v>18</v>
      </c>
      <c r="E7" s="3" t="s">
        <v>40</v>
      </c>
      <c r="F7" s="4" t="s">
        <v>19</v>
      </c>
      <c r="G7" s="5" t="s">
        <v>99</v>
      </c>
      <c r="H7" s="217" t="s">
        <v>85</v>
      </c>
      <c r="I7" s="6" t="s">
        <v>22</v>
      </c>
      <c r="J7" s="55" t="s">
        <v>23</v>
      </c>
      <c r="K7" s="7" t="s">
        <v>24</v>
      </c>
      <c r="L7" s="7" t="s">
        <v>47</v>
      </c>
      <c r="M7" s="6" t="s">
        <v>42</v>
      </c>
    </row>
    <row r="8" spans="1:14" ht="12.75">
      <c r="A8" s="8">
        <v>0</v>
      </c>
      <c r="C8" s="9">
        <v>0</v>
      </c>
      <c r="D8" s="11">
        <v>816</v>
      </c>
      <c r="E8" s="11">
        <v>816</v>
      </c>
      <c r="F8" s="11">
        <v>921.1134828559643</v>
      </c>
      <c r="G8" s="54">
        <v>0.11932873154542989</v>
      </c>
      <c r="H8" s="10">
        <v>0.42146479659614106</v>
      </c>
      <c r="I8" s="11">
        <v>116.23800728319155</v>
      </c>
      <c r="J8" s="11">
        <v>114.89986405809952</v>
      </c>
      <c r="K8" s="11">
        <v>117.19786133926152</v>
      </c>
      <c r="L8" s="11">
        <v>117.19786133926146</v>
      </c>
      <c r="M8" s="11">
        <v>98.21428571428571</v>
      </c>
      <c r="N8" s="11"/>
    </row>
    <row r="9" spans="1:14" ht="12.75">
      <c r="A9" s="8">
        <f aca="true" t="shared" si="0" ref="A9:A38">1+A8</f>
        <v>1</v>
      </c>
      <c r="C9" s="9">
        <v>1.009999394416809</v>
      </c>
      <c r="D9" s="11">
        <v>843.7429151738452</v>
      </c>
      <c r="E9" s="11">
        <v>843.7429151738452</v>
      </c>
      <c r="F9" s="11">
        <v>912.8902448374996</v>
      </c>
      <c r="G9" s="54">
        <v>0.10424813029115221</v>
      </c>
      <c r="H9" s="10">
        <v>0.4830015036011442</v>
      </c>
      <c r="I9" s="11">
        <v>101.33570247105229</v>
      </c>
      <c r="J9" s="11">
        <v>100.93190675544149</v>
      </c>
      <c r="K9" s="11">
        <v>102.11876053989926</v>
      </c>
      <c r="L9" s="11">
        <v>127.1156344390177</v>
      </c>
      <c r="M9" s="11">
        <v>98.21428571428571</v>
      </c>
      <c r="N9" s="11"/>
    </row>
    <row r="10" spans="1:14" ht="12.75">
      <c r="A10" s="8">
        <f t="shared" si="0"/>
        <v>2</v>
      </c>
      <c r="C10" s="9">
        <v>2.019998550415039</v>
      </c>
      <c r="D10" s="11">
        <v>863.2216973630348</v>
      </c>
      <c r="E10" s="11">
        <v>863.2216973630348</v>
      </c>
      <c r="F10" s="11">
        <v>892.2816993479202</v>
      </c>
      <c r="G10" s="54">
        <v>0.10645549203945048</v>
      </c>
      <c r="H10" s="10">
        <v>0.4625761332947093</v>
      </c>
      <c r="I10" s="11">
        <v>102.4177887357504</v>
      </c>
      <c r="J10" s="11">
        <v>102.2468799974169</v>
      </c>
      <c r="K10" s="11">
        <v>102.84598932755061</v>
      </c>
      <c r="L10" s="11">
        <v>127.37146944841254</v>
      </c>
      <c r="M10" s="11">
        <v>98.21428571428571</v>
      </c>
      <c r="N10" s="11"/>
    </row>
    <row r="11" spans="1:14" ht="12.75">
      <c r="A11" s="8">
        <f t="shared" si="0"/>
        <v>3</v>
      </c>
      <c r="C11" s="9">
        <v>3.0299975872039795</v>
      </c>
      <c r="D11" s="11">
        <v>869.2439244919387</v>
      </c>
      <c r="E11" s="11">
        <v>869.2439244919387</v>
      </c>
      <c r="F11" s="11">
        <v>881.1411591629624</v>
      </c>
      <c r="G11" s="54">
        <v>0.10762998307533223</v>
      </c>
      <c r="H11" s="10">
        <v>0.450903758010537</v>
      </c>
      <c r="I11" s="11">
        <v>103.74132938767828</v>
      </c>
      <c r="J11" s="11">
        <v>103.65278372593215</v>
      </c>
      <c r="K11" s="11">
        <v>103.97365303033672</v>
      </c>
      <c r="L11" s="11">
        <v>117.7001689064165</v>
      </c>
      <c r="M11" s="11">
        <v>98.21428571428571</v>
      </c>
      <c r="N11" s="11"/>
    </row>
    <row r="12" spans="1:22" ht="15.75">
      <c r="A12" s="8">
        <f t="shared" si="0"/>
        <v>4</v>
      </c>
      <c r="C12" s="9">
        <v>4.039997577667236</v>
      </c>
      <c r="D12" s="11">
        <v>869.4282442732683</v>
      </c>
      <c r="E12" s="11">
        <v>869.4282442732683</v>
      </c>
      <c r="F12" s="11">
        <v>876.719829237032</v>
      </c>
      <c r="G12" s="54">
        <v>0.10748524637649015</v>
      </c>
      <c r="H12" s="10">
        <v>0.44770851102844594</v>
      </c>
      <c r="I12" s="11">
        <v>104.32226208407978</v>
      </c>
      <c r="J12" s="11">
        <v>104.26306408378204</v>
      </c>
      <c r="K12" s="11">
        <v>104.46534761500338</v>
      </c>
      <c r="L12" s="11">
        <v>110.70155299975663</v>
      </c>
      <c r="M12" s="11">
        <v>98.21428571428571</v>
      </c>
      <c r="N12" s="11"/>
      <c r="R12" s="71"/>
      <c r="S12" s="78" t="s">
        <v>156</v>
      </c>
      <c r="T12" s="79" t="s">
        <v>28</v>
      </c>
      <c r="U12" s="78" t="s">
        <v>157</v>
      </c>
      <c r="V12" s="79" t="s">
        <v>88</v>
      </c>
    </row>
    <row r="13" spans="1:22" ht="12.75">
      <c r="A13" s="8">
        <f t="shared" si="0"/>
        <v>5</v>
      </c>
      <c r="C13" s="9">
        <v>5.050020694732666</v>
      </c>
      <c r="D13" s="11">
        <v>869.2195565313577</v>
      </c>
      <c r="E13" s="11">
        <v>869.2195565313577</v>
      </c>
      <c r="F13" s="11">
        <v>874.5373967096251</v>
      </c>
      <c r="G13" s="54">
        <v>0.10717420024576252</v>
      </c>
      <c r="H13" s="10">
        <v>0.44683348350277613</v>
      </c>
      <c r="I13" s="11">
        <v>104.53761198315217</v>
      </c>
      <c r="J13" s="11">
        <v>104.49755150379717</v>
      </c>
      <c r="K13" s="11">
        <v>104.62971158569566</v>
      </c>
      <c r="L13" s="11">
        <v>107.5144929791596</v>
      </c>
      <c r="M13" s="11">
        <v>98.21428571428571</v>
      </c>
      <c r="N13" s="11"/>
      <c r="R13" s="71"/>
      <c r="S13" s="80">
        <f>'1 DT'!AE26</f>
        <v>632327.3047466427</v>
      </c>
      <c r="T13" s="80">
        <f>'1 DT'!AH6</f>
        <v>6903.132058146178</v>
      </c>
      <c r="U13" s="80">
        <f>'1 DT'!AE26+'1 DT'!AE27</f>
        <v>710159.1882416733</v>
      </c>
      <c r="V13" s="80">
        <f>'1 DT'!AH7+'1 DT'!AH8</f>
        <v>5904.402799384843</v>
      </c>
    </row>
    <row r="14" spans="1:22" ht="12.75">
      <c r="A14" s="8">
        <f t="shared" si="0"/>
        <v>6</v>
      </c>
      <c r="C14" s="9">
        <v>6.060043811798096</v>
      </c>
      <c r="D14" s="11">
        <v>869.5731522424139</v>
      </c>
      <c r="E14" s="11">
        <v>869.5731522424139</v>
      </c>
      <c r="F14" s="11">
        <v>873.0442063516759</v>
      </c>
      <c r="G14" s="54">
        <v>0.10704177513171986</v>
      </c>
      <c r="H14" s="10">
        <v>0.4461495566472221</v>
      </c>
      <c r="I14" s="11">
        <v>104.6373419108229</v>
      </c>
      <c r="J14" s="11">
        <v>104.61318679011748</v>
      </c>
      <c r="K14" s="11">
        <v>104.69373922946171</v>
      </c>
      <c r="L14" s="11">
        <v>106.28709834463355</v>
      </c>
      <c r="M14" s="11">
        <v>98.21428571428571</v>
      </c>
      <c r="N14" s="11"/>
      <c r="R14" s="71"/>
      <c r="S14" s="81" t="s">
        <v>7</v>
      </c>
      <c r="T14" s="81" t="s">
        <v>7</v>
      </c>
      <c r="U14" s="71"/>
      <c r="V14" s="71"/>
    </row>
    <row r="15" spans="1:22" ht="15.75">
      <c r="A15" s="8">
        <f t="shared" si="0"/>
        <v>7</v>
      </c>
      <c r="C15" s="9">
        <v>7.070066928863525</v>
      </c>
      <c r="D15" s="11">
        <v>870.0470737047408</v>
      </c>
      <c r="E15" s="11">
        <v>870.0470737047408</v>
      </c>
      <c r="F15" s="11">
        <v>872.010970840237</v>
      </c>
      <c r="G15" s="54">
        <v>0.10702993079504952</v>
      </c>
      <c r="H15" s="10">
        <v>0.4454977360676342</v>
      </c>
      <c r="I15" s="11">
        <v>104.70635665189195</v>
      </c>
      <c r="J15" s="11">
        <v>104.69314700516685</v>
      </c>
      <c r="K15" s="11">
        <v>104.7385829584139</v>
      </c>
      <c r="L15" s="11">
        <v>105.73675806856704</v>
      </c>
      <c r="M15" s="11">
        <v>98.21428571428571</v>
      </c>
      <c r="N15" s="11"/>
      <c r="R15" s="79" t="s">
        <v>29</v>
      </c>
      <c r="S15" s="82" t="s">
        <v>15</v>
      </c>
      <c r="T15" s="82" t="s">
        <v>16</v>
      </c>
      <c r="U15" s="83" t="s">
        <v>8</v>
      </c>
      <c r="V15" s="83" t="s">
        <v>9</v>
      </c>
    </row>
    <row r="16" spans="1:22" ht="12.75">
      <c r="A16" s="8">
        <f t="shared" si="0"/>
        <v>8</v>
      </c>
      <c r="C16" s="9">
        <v>8.080089569091797</v>
      </c>
      <c r="D16" s="11">
        <v>870.354651461138</v>
      </c>
      <c r="E16" s="11">
        <v>870.354651461138</v>
      </c>
      <c r="F16" s="11">
        <v>871.3826170678267</v>
      </c>
      <c r="G16" s="54">
        <v>0.10704435610975715</v>
      </c>
      <c r="H16" s="10">
        <v>0.4450423571013926</v>
      </c>
      <c r="I16" s="11">
        <v>104.75522361357491</v>
      </c>
      <c r="J16" s="11">
        <v>104.74821375451769</v>
      </c>
      <c r="K16" s="11">
        <v>104.77293338945344</v>
      </c>
      <c r="L16" s="11">
        <v>105.38963725067268</v>
      </c>
      <c r="M16" s="11">
        <v>98.21428571428571</v>
      </c>
      <c r="N16" s="11"/>
      <c r="R16" s="71">
        <v>750</v>
      </c>
      <c r="S16" s="84">
        <v>97.39825104380617</v>
      </c>
      <c r="T16" s="84">
        <v>98.95225040229161</v>
      </c>
      <c r="U16" s="84">
        <f aca="true" t="shared" si="1" ref="U16:U36">$S$13/($T$13-R16)</f>
        <v>102.76511194156801</v>
      </c>
      <c r="V16" s="84">
        <f aca="true" t="shared" si="2" ref="V16:V36">$U$13/($V$13+R16)</f>
        <v>106.72019858901884</v>
      </c>
    </row>
    <row r="17" spans="1:22" ht="12.75">
      <c r="A17" s="8">
        <f t="shared" si="0"/>
        <v>9</v>
      </c>
      <c r="C17" s="9">
        <v>9.090112686157227</v>
      </c>
      <c r="D17" s="11">
        <v>870.4961127823799</v>
      </c>
      <c r="E17" s="11">
        <v>870.4961127823799</v>
      </c>
      <c r="F17" s="11">
        <v>871.0401496473701</v>
      </c>
      <c r="G17" s="54">
        <v>0.10705059953356244</v>
      </c>
      <c r="H17" s="10">
        <v>0.44479401789232836</v>
      </c>
      <c r="I17" s="11">
        <v>104.78502168476771</v>
      </c>
      <c r="J17" s="11">
        <v>104.78117739289355</v>
      </c>
      <c r="K17" s="11">
        <v>104.79478328508016</v>
      </c>
      <c r="L17" s="11">
        <v>105.14981103281775</v>
      </c>
      <c r="M17" s="11">
        <v>98.21428571428571</v>
      </c>
      <c r="N17" s="11"/>
      <c r="R17" s="71">
        <f>10+R16</f>
        <v>760</v>
      </c>
      <c r="S17" s="84">
        <v>97.56037134005295</v>
      </c>
      <c r="T17" s="84">
        <v>98.80377160624491</v>
      </c>
      <c r="U17" s="84">
        <f t="shared" si="1"/>
        <v>102.93239649766882</v>
      </c>
      <c r="V17" s="84">
        <f t="shared" si="2"/>
        <v>106.5600639125871</v>
      </c>
    </row>
    <row r="18" spans="1:22" ht="12.75">
      <c r="A18" s="8">
        <f t="shared" si="0"/>
        <v>10</v>
      </c>
      <c r="C18" s="9">
        <v>10.100135803222656</v>
      </c>
      <c r="D18" s="11">
        <v>870.553710041444</v>
      </c>
      <c r="E18" s="11">
        <v>870.553710041444</v>
      </c>
      <c r="F18" s="11">
        <v>870.8601146588466</v>
      </c>
      <c r="G18" s="54">
        <v>0.10704932102382214</v>
      </c>
      <c r="H18" s="10">
        <v>0.444673902787912</v>
      </c>
      <c r="I18" s="11">
        <v>104.80106343949895</v>
      </c>
      <c r="J18" s="11">
        <v>104.79885472714096</v>
      </c>
      <c r="K18" s="11">
        <v>104.80658036605146</v>
      </c>
      <c r="L18" s="11">
        <v>105.00051181023915</v>
      </c>
      <c r="M18" s="11">
        <v>98.21428571428571</v>
      </c>
      <c r="N18" s="11"/>
      <c r="R18" s="71">
        <f aca="true" t="shared" si="3" ref="R18:R36">10+R17</f>
        <v>770</v>
      </c>
      <c r="S18" s="84">
        <v>97.72303223762258</v>
      </c>
      <c r="T18" s="84">
        <v>98.65573773029222</v>
      </c>
      <c r="U18" s="84">
        <f t="shared" si="1"/>
        <v>103.10022656478918</v>
      </c>
      <c r="V18" s="84">
        <f t="shared" si="2"/>
        <v>106.40040908336042</v>
      </c>
    </row>
    <row r="19" spans="1:22" ht="12.75">
      <c r="A19" s="8">
        <f t="shared" si="0"/>
        <v>11</v>
      </c>
      <c r="C19" s="9">
        <v>11.110158920288086</v>
      </c>
      <c r="D19" s="11">
        <v>870.5820377631899</v>
      </c>
      <c r="E19" s="11">
        <v>870.5820377631899</v>
      </c>
      <c r="F19" s="11">
        <v>870.7620263696994</v>
      </c>
      <c r="G19" s="54">
        <v>0.10704673911686546</v>
      </c>
      <c r="H19" s="10">
        <v>0.44461359390304106</v>
      </c>
      <c r="I19" s="11">
        <v>104.80937110354829</v>
      </c>
      <c r="J19" s="11">
        <v>104.80808149698302</v>
      </c>
      <c r="K19" s="11">
        <v>104.81254410988778</v>
      </c>
      <c r="L19" s="11">
        <v>104.91787240500123</v>
      </c>
      <c r="M19" s="11">
        <v>98.21428571428571</v>
      </c>
      <c r="N19" s="11"/>
      <c r="R19" s="71">
        <f t="shared" si="3"/>
        <v>780</v>
      </c>
      <c r="S19" s="84">
        <v>97.88623644503959</v>
      </c>
      <c r="T19" s="84">
        <v>98.5081467776055</v>
      </c>
      <c r="U19" s="84">
        <f t="shared" si="1"/>
        <v>103.26860481563489</v>
      </c>
      <c r="V19" s="84">
        <f t="shared" si="2"/>
        <v>106.2412319477558</v>
      </c>
    </row>
    <row r="20" spans="1:22" ht="12.75">
      <c r="A20" s="8">
        <f t="shared" si="0"/>
        <v>12</v>
      </c>
      <c r="C20" s="9">
        <v>12.120182037353516</v>
      </c>
      <c r="D20" s="11">
        <v>870.6003530102289</v>
      </c>
      <c r="E20" s="11">
        <v>870.6003530102289</v>
      </c>
      <c r="F20" s="11">
        <v>870.7056335747507</v>
      </c>
      <c r="G20" s="54">
        <v>0.1070453298205456</v>
      </c>
      <c r="H20" s="10">
        <v>0.44457913940065724</v>
      </c>
      <c r="I20" s="11">
        <v>104.81387486454274</v>
      </c>
      <c r="J20" s="11">
        <v>104.81313239609152</v>
      </c>
      <c r="K20" s="11">
        <v>104.81569747102546</v>
      </c>
      <c r="L20" s="11">
        <v>104.87456204456738</v>
      </c>
      <c r="M20" s="11">
        <v>98.21428571428571</v>
      </c>
      <c r="N20" s="11"/>
      <c r="R20" s="71">
        <f t="shared" si="3"/>
        <v>790</v>
      </c>
      <c r="S20" s="84">
        <v>98.0499866889525</v>
      </c>
      <c r="T20" s="84">
        <v>98.36099676328809</v>
      </c>
      <c r="U20" s="84">
        <f t="shared" si="1"/>
        <v>103.43753394040002</v>
      </c>
      <c r="V20" s="84">
        <f t="shared" si="2"/>
        <v>106.0825303650582</v>
      </c>
    </row>
    <row r="21" spans="1:22" ht="12.75">
      <c r="A21" s="8">
        <f t="shared" si="0"/>
        <v>13</v>
      </c>
      <c r="C21" s="9">
        <v>13.130205154418945</v>
      </c>
      <c r="D21" s="11">
        <v>870.612607346693</v>
      </c>
      <c r="E21" s="11">
        <v>870.612607346693</v>
      </c>
      <c r="F21" s="11">
        <v>870.6725661139127</v>
      </c>
      <c r="G21" s="54">
        <v>0.10704491249409798</v>
      </c>
      <c r="H21" s="10">
        <v>0.44455801672022865</v>
      </c>
      <c r="I21" s="11">
        <v>104.81648006645078</v>
      </c>
      <c r="J21" s="11">
        <v>104.81606130616137</v>
      </c>
      <c r="K21" s="11">
        <v>104.81751515570772</v>
      </c>
      <c r="L21" s="11">
        <v>104.85132737613502</v>
      </c>
      <c r="M21" s="11">
        <v>98.21428571428571</v>
      </c>
      <c r="N21" s="11"/>
      <c r="R21" s="71">
        <f t="shared" si="3"/>
        <v>800</v>
      </c>
      <c r="S21" s="84">
        <v>98.2142857142856</v>
      </c>
      <c r="T21" s="84">
        <v>98.21428571428561</v>
      </c>
      <c r="U21" s="84">
        <f t="shared" si="1"/>
        <v>103.60701664691025</v>
      </c>
      <c r="V21" s="84">
        <f t="shared" si="2"/>
        <v>105.92430220732462</v>
      </c>
    </row>
    <row r="22" spans="1:22" ht="12.75">
      <c r="A22" s="8">
        <f t="shared" si="0"/>
        <v>14</v>
      </c>
      <c r="C22" s="9">
        <v>14.140228271484375</v>
      </c>
      <c r="D22" s="11">
        <v>870.6199973864741</v>
      </c>
      <c r="E22" s="11">
        <v>870.6199973864741</v>
      </c>
      <c r="F22" s="11">
        <v>870.6534704905422</v>
      </c>
      <c r="G22" s="54">
        <v>0.10704484560618432</v>
      </c>
      <c r="H22" s="10">
        <v>0.4445453561188819</v>
      </c>
      <c r="I22" s="11">
        <v>104.81801956409431</v>
      </c>
      <c r="J22" s="11">
        <v>104.81778554744155</v>
      </c>
      <c r="K22" s="11">
        <v>104.81860223995939</v>
      </c>
      <c r="L22" s="11">
        <v>104.83811927601002</v>
      </c>
      <c r="M22" s="11">
        <v>98.21428571428571</v>
      </c>
      <c r="N22" s="11"/>
      <c r="R22" s="71">
        <f t="shared" si="3"/>
        <v>810</v>
      </c>
      <c r="S22" s="84">
        <v>98.3791362843924</v>
      </c>
      <c r="T22" s="84">
        <v>98.0680116692979</v>
      </c>
      <c r="U22" s="84">
        <f t="shared" si="1"/>
        <v>103.7770556607675</v>
      </c>
      <c r="V22" s="84">
        <f t="shared" si="2"/>
        <v>105.76654535928888</v>
      </c>
    </row>
    <row r="23" spans="1:22" ht="12.75">
      <c r="A23" s="8">
        <f t="shared" si="0"/>
        <v>15</v>
      </c>
      <c r="C23" s="9">
        <v>15.150251388549805</v>
      </c>
      <c r="D23" s="11">
        <v>870.6240351832439</v>
      </c>
      <c r="E23" s="11">
        <v>870.6240351832439</v>
      </c>
      <c r="F23" s="11">
        <v>870.6426994232316</v>
      </c>
      <c r="G23" s="54">
        <v>0.10704481505026875</v>
      </c>
      <c r="H23" s="10">
        <v>0.44453816520109646</v>
      </c>
      <c r="I23" s="11">
        <v>104.81891115398508</v>
      </c>
      <c r="J23" s="11">
        <v>104.81877978238829</v>
      </c>
      <c r="K23" s="11">
        <v>104.819238917521</v>
      </c>
      <c r="L23" s="11">
        <v>104.83037241331392</v>
      </c>
      <c r="M23" s="11">
        <v>98.21428571428571</v>
      </c>
      <c r="N23" s="11"/>
      <c r="R23" s="71">
        <f t="shared" si="3"/>
        <v>820</v>
      </c>
      <c r="S23" s="84">
        <v>98.54454118121052</v>
      </c>
      <c r="T23" s="84">
        <v>97.92217267869152</v>
      </c>
      <c r="U23" s="84">
        <f t="shared" si="1"/>
        <v>103.94765372549601</v>
      </c>
      <c r="V23" s="84">
        <f t="shared" si="2"/>
        <v>105.6092577182675</v>
      </c>
    </row>
    <row r="24" spans="1:22" ht="12.75">
      <c r="A24" s="8">
        <f t="shared" si="0"/>
        <v>16</v>
      </c>
      <c r="C24" s="9">
        <v>16.160274505615234</v>
      </c>
      <c r="D24" s="11">
        <v>870.6261668012539</v>
      </c>
      <c r="E24" s="11">
        <v>870.6261668012539</v>
      </c>
      <c r="F24" s="11">
        <v>870.636690611854</v>
      </c>
      <c r="G24" s="54">
        <v>0.10704476901397397</v>
      </c>
      <c r="H24" s="10">
        <v>0.4445342161733711</v>
      </c>
      <c r="I24" s="11">
        <v>104.81941314444457</v>
      </c>
      <c r="J24" s="11">
        <v>104.81933869794334</v>
      </c>
      <c r="K24" s="11">
        <v>104.81959838131584</v>
      </c>
      <c r="L24" s="11">
        <v>104.8258704163629</v>
      </c>
      <c r="M24" s="11">
        <v>98.21428571428571</v>
      </c>
      <c r="N24" s="11"/>
      <c r="R24" s="71">
        <f t="shared" si="3"/>
        <v>830</v>
      </c>
      <c r="S24" s="84">
        <v>98.71050320541815</v>
      </c>
      <c r="T24" s="84">
        <v>97.7767668044132</v>
      </c>
      <c r="U24" s="84">
        <f t="shared" si="1"/>
        <v>104.11881360268995</v>
      </c>
      <c r="V24" s="84">
        <f t="shared" si="2"/>
        <v>105.45243719406614</v>
      </c>
    </row>
    <row r="25" spans="1:22" ht="12.75">
      <c r="A25" s="8">
        <f t="shared" si="0"/>
        <v>17</v>
      </c>
      <c r="C25" s="9">
        <v>17.170297622680664</v>
      </c>
      <c r="D25" s="11">
        <v>870.6273291361422</v>
      </c>
      <c r="E25" s="11">
        <v>870.6273291361422</v>
      </c>
      <c r="F25" s="11">
        <v>870.6333225315093</v>
      </c>
      <c r="G25" s="54">
        <v>0.10704472809154275</v>
      </c>
      <c r="H25" s="10">
        <v>0.4445320417795501</v>
      </c>
      <c r="I25" s="11">
        <v>104.81969229035651</v>
      </c>
      <c r="J25" s="11">
        <v>104.81964989009026</v>
      </c>
      <c r="K25" s="11">
        <v>104.81979742979699</v>
      </c>
      <c r="L25" s="11">
        <v>104.82331817289965</v>
      </c>
      <c r="M25" s="11">
        <v>98.21428571428571</v>
      </c>
      <c r="N25" s="11"/>
      <c r="R25" s="71">
        <f t="shared" si="3"/>
        <v>840</v>
      </c>
      <c r="S25" s="84">
        <v>98.87702517659218</v>
      </c>
      <c r="T25" s="84">
        <v>97.63179211990395</v>
      </c>
      <c r="U25" s="84">
        <f t="shared" si="1"/>
        <v>104.29053807216246</v>
      </c>
      <c r="V25" s="84">
        <f t="shared" si="2"/>
        <v>105.29608170888709</v>
      </c>
    </row>
    <row r="26" spans="1:22" ht="12.75">
      <c r="A26" s="8">
        <f t="shared" si="0"/>
        <v>18</v>
      </c>
      <c r="C26" s="9">
        <v>18.180320739746094</v>
      </c>
      <c r="D26" s="11">
        <v>870.6279958150581</v>
      </c>
      <c r="E26" s="11">
        <v>870.6279958150581</v>
      </c>
      <c r="F26" s="11">
        <v>870.6314142868804</v>
      </c>
      <c r="G26" s="54">
        <v>0.10704470342662264</v>
      </c>
      <c r="H26" s="10">
        <v>0.44453081608383344</v>
      </c>
      <c r="I26" s="11">
        <v>104.81984851563735</v>
      </c>
      <c r="J26" s="11">
        <v>104.81982440184454</v>
      </c>
      <c r="K26" s="11">
        <v>104.81990823787284</v>
      </c>
      <c r="L26" s="11">
        <v>104.82189357035365</v>
      </c>
      <c r="M26" s="11">
        <v>98.21428571428571</v>
      </c>
      <c r="N26" s="11"/>
      <c r="R26" s="71">
        <f t="shared" si="3"/>
        <v>850</v>
      </c>
      <c r="S26" s="84">
        <v>99.04410993336786</v>
      </c>
      <c r="T26" s="84">
        <v>97.48724671001398</v>
      </c>
      <c r="U26" s="84">
        <f t="shared" si="1"/>
        <v>104.46282993209606</v>
      </c>
      <c r="V26" s="84">
        <f t="shared" si="2"/>
        <v>105.14018919723755</v>
      </c>
    </row>
    <row r="27" spans="1:22" ht="12.75">
      <c r="A27" s="8">
        <f t="shared" si="0"/>
        <v>19</v>
      </c>
      <c r="C27" s="9">
        <v>19.190343856811523</v>
      </c>
      <c r="D27" s="11">
        <v>870.6283858362676</v>
      </c>
      <c r="E27" s="11">
        <v>870.6283858362676</v>
      </c>
      <c r="F27" s="11">
        <v>870.630326667105</v>
      </c>
      <c r="G27" s="54">
        <v>0.10704469159110919</v>
      </c>
      <c r="H27" s="10">
        <v>0.4445301128611943</v>
      </c>
      <c r="I27" s="11">
        <v>104.81993709030186</v>
      </c>
      <c r="J27" s="11">
        <v>104.81992343303428</v>
      </c>
      <c r="K27" s="11">
        <v>104.81997094933531</v>
      </c>
      <c r="L27" s="11">
        <v>104.82109713776441</v>
      </c>
      <c r="M27" s="11">
        <v>98.21428571428571</v>
      </c>
      <c r="N27" s="11"/>
      <c r="R27" s="71">
        <f t="shared" si="3"/>
        <v>860</v>
      </c>
      <c r="S27" s="84">
        <v>99.21176033360008</v>
      </c>
      <c r="T27" s="84">
        <v>97.34312867091838</v>
      </c>
      <c r="U27" s="84">
        <f t="shared" si="1"/>
        <v>104.63569199919465</v>
      </c>
      <c r="V27" s="84">
        <f t="shared" si="2"/>
        <v>104.98475760583852</v>
      </c>
    </row>
    <row r="28" spans="1:22" ht="12.75">
      <c r="A28" s="8">
        <f t="shared" si="0"/>
        <v>20</v>
      </c>
      <c r="C28" s="9">
        <v>20.200366973876953</v>
      </c>
      <c r="D28" s="11">
        <v>870.6286109463799</v>
      </c>
      <c r="E28" s="11">
        <v>870.6286109463799</v>
      </c>
      <c r="F28" s="11">
        <v>870.6297076693127</v>
      </c>
      <c r="G28" s="54">
        <v>0.10704468617478935</v>
      </c>
      <c r="H28" s="10">
        <v>0.44452970928527036</v>
      </c>
      <c r="I28" s="11">
        <v>104.81998765087886</v>
      </c>
      <c r="J28" s="11">
        <v>104.81997993584065</v>
      </c>
      <c r="K28" s="11">
        <v>104.82000680787549</v>
      </c>
      <c r="L28" s="11">
        <v>104.82064704128423</v>
      </c>
      <c r="M28" s="11">
        <v>98.21428571428571</v>
      </c>
      <c r="N28" s="11"/>
      <c r="R28" s="71">
        <f t="shared" si="3"/>
        <v>870</v>
      </c>
      <c r="S28" s="84">
        <v>99.37997925452632</v>
      </c>
      <c r="T28" s="84">
        <v>97.19943611003352</v>
      </c>
      <c r="U28" s="84">
        <f t="shared" si="1"/>
        <v>104.8091271088371</v>
      </c>
      <c r="V28" s="84">
        <f t="shared" si="2"/>
        <v>104.82978489353484</v>
      </c>
    </row>
    <row r="29" spans="1:22" ht="12.75">
      <c r="A29" s="8">
        <f t="shared" si="0"/>
        <v>21</v>
      </c>
      <c r="C29" s="9">
        <v>21.210390090942383</v>
      </c>
      <c r="D29" s="11">
        <v>870.6287380351432</v>
      </c>
      <c r="E29" s="11">
        <v>870.6287380351432</v>
      </c>
      <c r="F29" s="11">
        <v>870.6293570295253</v>
      </c>
      <c r="G29" s="54">
        <v>0.1070446833056864</v>
      </c>
      <c r="H29" s="10">
        <v>0.4445294799767036</v>
      </c>
      <c r="I29" s="11">
        <v>104.82001645064918</v>
      </c>
      <c r="J29" s="11">
        <v>104.82001209105934</v>
      </c>
      <c r="K29" s="11">
        <v>104.82002728337736</v>
      </c>
      <c r="L29" s="11">
        <v>104.82039063248261</v>
      </c>
      <c r="M29" s="11">
        <v>98.21428571428571</v>
      </c>
      <c r="N29" s="11"/>
      <c r="R29" s="71">
        <f t="shared" si="3"/>
        <v>880</v>
      </c>
      <c r="S29" s="84">
        <v>99.54876959293125</v>
      </c>
      <c r="T29" s="84">
        <v>97.05616714593421</v>
      </c>
      <c r="U29" s="84">
        <f t="shared" si="1"/>
        <v>104.98313811523215</v>
      </c>
      <c r="V29" s="84">
        <f t="shared" si="2"/>
        <v>104.67526903120566</v>
      </c>
    </row>
    <row r="30" spans="1:22" ht="12.75">
      <c r="A30" s="8">
        <f t="shared" si="0"/>
        <v>22</v>
      </c>
      <c r="C30" s="9">
        <v>22.220413208007812</v>
      </c>
      <c r="D30" s="11">
        <v>870.6288090112903</v>
      </c>
      <c r="E30" s="11">
        <v>870.6288090112903</v>
      </c>
      <c r="F30" s="11">
        <v>870.6291590089619</v>
      </c>
      <c r="G30" s="54">
        <v>0.10704468152915814</v>
      </c>
      <c r="H30" s="10">
        <v>0.444529350782981</v>
      </c>
      <c r="I30" s="11">
        <v>104.82003276160488</v>
      </c>
      <c r="J30" s="11">
        <v>104.8200302936632</v>
      </c>
      <c r="K30" s="11">
        <v>104.8200388917955</v>
      </c>
      <c r="L30" s="11">
        <v>104.82024454560809</v>
      </c>
      <c r="M30" s="11">
        <v>98.21428571428571</v>
      </c>
      <c r="N30" s="11"/>
      <c r="R30" s="71">
        <f t="shared" si="3"/>
        <v>890</v>
      </c>
      <c r="S30" s="84">
        <v>99.71813426531303</v>
      </c>
      <c r="T30" s="84">
        <v>96.91331990827157</v>
      </c>
      <c r="U30" s="84">
        <f t="shared" si="1"/>
        <v>105.1577278915751</v>
      </c>
      <c r="V30" s="84">
        <f t="shared" si="2"/>
        <v>104.52120800167606</v>
      </c>
    </row>
    <row r="31" spans="1:22" ht="12.75">
      <c r="A31" s="8">
        <f t="shared" si="0"/>
        <v>23</v>
      </c>
      <c r="C31" s="9">
        <v>23.230436325073242</v>
      </c>
      <c r="D31" s="11">
        <v>870.6288488112095</v>
      </c>
      <c r="E31" s="11">
        <v>870.6288488112095</v>
      </c>
      <c r="F31" s="11">
        <v>870.6290471503311</v>
      </c>
      <c r="G31" s="54">
        <v>0.10704468041419113</v>
      </c>
      <c r="H31" s="10">
        <v>0.4445292780804166</v>
      </c>
      <c r="I31" s="11">
        <v>104.82004196706372</v>
      </c>
      <c r="J31" s="11">
        <v>104.82004056814505</v>
      </c>
      <c r="K31" s="11">
        <v>104.8200454394231</v>
      </c>
      <c r="L31" s="11">
        <v>104.82016169505845</v>
      </c>
      <c r="M31" s="11">
        <v>98.21428571428571</v>
      </c>
      <c r="N31" s="11"/>
      <c r="R31" s="71">
        <f t="shared" si="3"/>
        <v>900</v>
      </c>
      <c r="S31" s="84">
        <v>99.88807620805126</v>
      </c>
      <c r="T31" s="84">
        <v>96.77089253769171</v>
      </c>
      <c r="U31" s="84">
        <f t="shared" si="1"/>
        <v>105.33289933020583</v>
      </c>
      <c r="V31" s="84">
        <f t="shared" si="2"/>
        <v>104.3675997996291</v>
      </c>
    </row>
    <row r="32" spans="1:22" ht="12.75">
      <c r="A32" s="8">
        <f t="shared" si="0"/>
        <v>24</v>
      </c>
      <c r="C32" s="9">
        <v>24.240459442138672</v>
      </c>
      <c r="D32" s="11">
        <v>870.6288713534614</v>
      </c>
      <c r="E32" s="11">
        <v>870.6288713534614</v>
      </c>
      <c r="F32" s="11">
        <v>870.6289838347789</v>
      </c>
      <c r="G32" s="54">
        <v>0.10704467976058418</v>
      </c>
      <c r="H32" s="10">
        <v>0.4445292370000192</v>
      </c>
      <c r="I32" s="11">
        <v>104.82004716484674</v>
      </c>
      <c r="J32" s="11">
        <v>104.82004637187819</v>
      </c>
      <c r="K32" s="11">
        <v>104.82004913239379</v>
      </c>
      <c r="L32" s="11">
        <v>104.82011488970922</v>
      </c>
      <c r="M32" s="11">
        <v>98.21428571428571</v>
      </c>
      <c r="N32" s="11"/>
      <c r="R32" s="71">
        <f t="shared" si="3"/>
        <v>910</v>
      </c>
      <c r="S32" s="84">
        <v>100.05859837757669</v>
      </c>
      <c r="T32" s="84">
        <v>96.62888318575492</v>
      </c>
      <c r="U32" s="84">
        <f t="shared" si="1"/>
        <v>105.50865534276863</v>
      </c>
      <c r="V32" s="84">
        <f t="shared" si="2"/>
        <v>104.21444243151895</v>
      </c>
    </row>
    <row r="33" spans="1:22" ht="12.75">
      <c r="A33" s="8">
        <f t="shared" si="0"/>
        <v>25</v>
      </c>
      <c r="C33" s="9">
        <v>25.2504825592041</v>
      </c>
      <c r="D33" s="11">
        <v>870.628884195331</v>
      </c>
      <c r="E33" s="11">
        <v>870.628884195331</v>
      </c>
      <c r="F33" s="11">
        <v>870.628947941244</v>
      </c>
      <c r="G33" s="54">
        <v>0.10704467940078621</v>
      </c>
      <c r="H33" s="10">
        <v>0.44452921369226284</v>
      </c>
      <c r="I33" s="11">
        <v>104.82005010705747</v>
      </c>
      <c r="J33" s="11">
        <v>104.82004965791151</v>
      </c>
      <c r="K33" s="11">
        <v>104.82005122161777</v>
      </c>
      <c r="L33" s="11">
        <v>104.8200884610576</v>
      </c>
      <c r="M33" s="11">
        <v>98.21428571428571</v>
      </c>
      <c r="N33" s="11"/>
      <c r="R33" s="71">
        <f t="shared" si="3"/>
        <v>920</v>
      </c>
      <c r="S33" s="84">
        <v>100.22970375054267</v>
      </c>
      <c r="T33" s="84">
        <v>96.48729001485582</v>
      </c>
      <c r="U33" s="84">
        <f t="shared" si="1"/>
        <v>105.68499886037345</v>
      </c>
      <c r="V33" s="84">
        <f t="shared" si="2"/>
        <v>104.06173391548452</v>
      </c>
    </row>
    <row r="34" spans="1:22" ht="12.75">
      <c r="A34" s="8">
        <f t="shared" si="0"/>
        <v>26</v>
      </c>
      <c r="C34" s="9">
        <v>26.26050567626953</v>
      </c>
      <c r="D34" s="11">
        <v>870.6288915024943</v>
      </c>
      <c r="E34" s="11">
        <v>870.6288915024943</v>
      </c>
      <c r="F34" s="11">
        <v>870.6289275919999</v>
      </c>
      <c r="G34" s="54">
        <v>0.10704467920612304</v>
      </c>
      <c r="H34" s="10">
        <v>0.44452920045561645</v>
      </c>
      <c r="I34" s="11">
        <v>104.82005177546911</v>
      </c>
      <c r="J34" s="11">
        <v>104.82005152123119</v>
      </c>
      <c r="K34" s="11">
        <v>104.82005240656015</v>
      </c>
      <c r="L34" s="11">
        <v>104.82007350984216</v>
      </c>
      <c r="M34" s="11">
        <v>98.21428571428571</v>
      </c>
      <c r="N34" s="11"/>
      <c r="R34" s="71">
        <f t="shared" si="3"/>
        <v>930</v>
      </c>
      <c r="S34" s="84">
        <v>100.40139532399837</v>
      </c>
      <c r="T34" s="84">
        <v>96.34611119814407</v>
      </c>
      <c r="U34" s="84">
        <f t="shared" si="1"/>
        <v>105.8619328337589</v>
      </c>
      <c r="V34" s="84">
        <f t="shared" si="2"/>
        <v>103.90947228126413</v>
      </c>
    </row>
    <row r="35" spans="1:22" ht="12.75">
      <c r="A35" s="8">
        <f t="shared" si="0"/>
        <v>27</v>
      </c>
      <c r="C35" s="9">
        <v>27.27052879333496</v>
      </c>
      <c r="D35" s="11">
        <v>870.628895642215</v>
      </c>
      <c r="E35" s="11">
        <v>870.628895642215</v>
      </c>
      <c r="F35" s="11">
        <v>870.6289160652162</v>
      </c>
      <c r="G35" s="54">
        <v>0.10704467909818893</v>
      </c>
      <c r="H35" s="10">
        <v>0.44452919295077364</v>
      </c>
      <c r="I35" s="11">
        <v>104.8200527215504</v>
      </c>
      <c r="J35" s="11">
        <v>104.820052577651</v>
      </c>
      <c r="K35" s="11">
        <v>104.82005307881934</v>
      </c>
      <c r="L35" s="11">
        <v>104.82006503579183</v>
      </c>
      <c r="M35" s="11">
        <v>98.21428571428571</v>
      </c>
      <c r="N35" s="11"/>
      <c r="R35" s="71">
        <f t="shared" si="3"/>
        <v>940</v>
      </c>
      <c r="S35" s="84">
        <v>100.57367611556373</v>
      </c>
      <c r="T35" s="84">
        <v>96.2053449194458</v>
      </c>
      <c r="U35" s="84">
        <f t="shared" si="1"/>
        <v>106.03946023345675</v>
      </c>
      <c r="V35" s="84">
        <f t="shared" si="2"/>
        <v>103.75765557011059</v>
      </c>
    </row>
    <row r="36" spans="1:22" ht="12.75">
      <c r="A36" s="8">
        <f t="shared" si="0"/>
        <v>28</v>
      </c>
      <c r="C36" s="9">
        <v>28.28055191040039</v>
      </c>
      <c r="D36" s="11">
        <v>870.6288979806059</v>
      </c>
      <c r="E36" s="11">
        <v>870.6288979806059</v>
      </c>
      <c r="F36" s="11">
        <v>870.6289095407689</v>
      </c>
      <c r="G36" s="54">
        <v>0.10704467903642034</v>
      </c>
      <c r="H36" s="10">
        <v>0.4445291887038869</v>
      </c>
      <c r="I36" s="11">
        <v>104.82005325746094</v>
      </c>
      <c r="J36" s="11">
        <v>104.8200531759878</v>
      </c>
      <c r="K36" s="11">
        <v>104.82005345973533</v>
      </c>
      <c r="L36" s="11">
        <v>104.82006023083308</v>
      </c>
      <c r="M36" s="11">
        <v>98.21428571428571</v>
      </c>
      <c r="N36" s="11"/>
      <c r="R36" s="71">
        <f t="shared" si="3"/>
        <v>950</v>
      </c>
      <c r="S36" s="84">
        <v>100.74654916360629</v>
      </c>
      <c r="T36" s="84">
        <v>96.0649893731857</v>
      </c>
      <c r="U36" s="84">
        <f t="shared" si="1"/>
        <v>106.21758404995828</v>
      </c>
      <c r="V36" s="84">
        <f t="shared" si="2"/>
        <v>103.60628183470737</v>
      </c>
    </row>
    <row r="37" spans="1:14" ht="12.75">
      <c r="A37" s="8">
        <f t="shared" si="0"/>
        <v>29</v>
      </c>
      <c r="C37" s="9">
        <v>29.29057502746582</v>
      </c>
      <c r="D37" s="11">
        <v>870.6288993016778</v>
      </c>
      <c r="E37" s="11">
        <v>870.6288993016778</v>
      </c>
      <c r="F37" s="11">
        <v>870.6289058481806</v>
      </c>
      <c r="G37" s="54">
        <v>0.10704467900069758</v>
      </c>
      <c r="H37" s="10">
        <v>0.44452918630212473</v>
      </c>
      <c r="I37" s="11">
        <v>104.82005356076397</v>
      </c>
      <c r="J37" s="11">
        <v>104.82005351462108</v>
      </c>
      <c r="K37" s="11">
        <v>104.82005367530789</v>
      </c>
      <c r="L37" s="11">
        <v>104.82005750838897</v>
      </c>
      <c r="M37" s="11">
        <v>98.21428571428571</v>
      </c>
      <c r="N37" s="11"/>
    </row>
    <row r="38" spans="1:14" ht="12.75">
      <c r="A38" s="8">
        <f t="shared" si="0"/>
        <v>30</v>
      </c>
      <c r="C38" s="9">
        <v>30.000591278076172</v>
      </c>
      <c r="D38" s="11">
        <v>870.628899863199</v>
      </c>
      <c r="E38" s="11">
        <v>870.628899863199</v>
      </c>
      <c r="F38" s="11">
        <v>870.6289042781143</v>
      </c>
      <c r="G38" s="54">
        <v>0.10704467898534098</v>
      </c>
      <c r="H38" s="10">
        <v>0.44452918528138463</v>
      </c>
      <c r="I38" s="11">
        <v>104.82005368967542</v>
      </c>
      <c r="J38" s="11">
        <v>104.82005365855804</v>
      </c>
      <c r="K38" s="11">
        <v>104.82005376691436</v>
      </c>
      <c r="L38" s="11">
        <v>104.82005635086766</v>
      </c>
      <c r="M38" s="11">
        <v>98.21428571428571</v>
      </c>
      <c r="N38" s="11"/>
    </row>
    <row r="39" spans="1:14" ht="12.75">
      <c r="A39" s="8"/>
      <c r="C39" s="9"/>
      <c r="D39" s="11"/>
      <c r="E39" s="11"/>
      <c r="F39" s="11"/>
      <c r="G39" s="54"/>
      <c r="H39" s="10"/>
      <c r="I39" s="11"/>
      <c r="J39" s="11"/>
      <c r="K39" s="11"/>
      <c r="L39" s="11"/>
      <c r="M39" s="11"/>
      <c r="N39" s="11"/>
    </row>
    <row r="49" spans="14:16" ht="12">
      <c r="N49" s="19"/>
      <c r="P49" s="19"/>
    </row>
    <row r="51" spans="14:16" ht="12">
      <c r="N51" s="19"/>
      <c r="P51" s="19"/>
    </row>
    <row r="52" spans="14:16" ht="12">
      <c r="N52" s="19"/>
      <c r="P52" s="19"/>
    </row>
    <row r="53" spans="14:16" ht="12">
      <c r="N53" s="19"/>
      <c r="P53" s="19"/>
    </row>
  </sheetData>
  <printOptions/>
  <pageMargins left="0.75" right="0.75" top="1" bottom="1" header="0.5" footer="0.5"/>
  <pageSetup horizontalDpi="360" verticalDpi="360" orientation="portrait" r:id="rId2"/>
  <headerFooter alignWithMargins="0">
    <oddHeader>&amp;C&amp;A</oddHeader>
    <oddFooter>&amp;CPage &amp;P</oddFooter>
  </headerFooter>
  <legacyDrawing r:id="rId1"/>
</worksheet>
</file>

<file path=xl/worksheets/sheet5.xml><?xml version="1.0" encoding="utf-8"?>
<worksheet xmlns="http://schemas.openxmlformats.org/spreadsheetml/2006/main" xmlns:r="http://schemas.openxmlformats.org/officeDocument/2006/relationships">
  <sheetPr codeName="Sheet2" transitionEvaluation="1" transitionEntry="1"/>
  <dimension ref="A2:AS75"/>
  <sheetViews>
    <sheetView showGridLines="0" zoomScaleSheetLayoutView="100" workbookViewId="0" topLeftCell="A1">
      <selection activeCell="A1" sqref="A1"/>
    </sheetView>
  </sheetViews>
  <sheetFormatPr defaultColWidth="10.875" defaultRowHeight="12.75"/>
  <cols>
    <col min="1" max="1" width="8.625" style="1" customWidth="1"/>
    <col min="2" max="2" width="8.75390625" style="1" customWidth="1"/>
    <col min="3" max="3" width="9.00390625" style="1" customWidth="1"/>
    <col min="4" max="4" width="3.125" style="1" customWidth="1"/>
    <col min="5" max="7" width="9.00390625" style="1" customWidth="1"/>
    <col min="8" max="8" width="3.125" style="1" customWidth="1"/>
    <col min="9" max="9" width="9.00390625" style="1" customWidth="1"/>
    <col min="10" max="10" width="3.125" style="1" customWidth="1"/>
    <col min="11" max="11" width="9.00390625" style="1" customWidth="1"/>
    <col min="12" max="12" width="3.125" style="1" customWidth="1"/>
    <col min="13" max="13" width="9.00390625" style="1" customWidth="1"/>
    <col min="14" max="14" width="3.125" style="1" customWidth="1"/>
    <col min="15" max="15" width="9.00390625" style="1" customWidth="1"/>
    <col min="16" max="16" width="3.125" style="1" customWidth="1"/>
    <col min="17" max="19" width="9.00390625" style="1" customWidth="1"/>
    <col min="20" max="20" width="3.125" style="1" customWidth="1"/>
    <col min="21" max="37" width="9.00390625" style="1" customWidth="1"/>
    <col min="38" max="16384" width="10.875" style="1" customWidth="1"/>
  </cols>
  <sheetData>
    <row r="2" ht="13.5" customHeight="1">
      <c r="AR2" s="14"/>
    </row>
    <row r="3" ht="13.5" customHeight="1">
      <c r="AR3" s="14"/>
    </row>
    <row r="4" spans="11:44" ht="13.5" customHeight="1">
      <c r="K4" s="14"/>
      <c r="L4" s="14"/>
      <c r="M4" s="14"/>
      <c r="N4" s="14"/>
      <c r="O4" s="14"/>
      <c r="P4" s="14"/>
      <c r="Q4" s="14"/>
      <c r="R4" s="14"/>
      <c r="AR4" s="14"/>
    </row>
    <row r="5" spans="12:44" ht="13.5" customHeight="1">
      <c r="L5" s="14"/>
      <c r="M5" s="14"/>
      <c r="N5" s="14"/>
      <c r="O5" s="14"/>
      <c r="P5" s="14"/>
      <c r="Q5" s="14"/>
      <c r="R5" s="14"/>
      <c r="AR5" s="14"/>
    </row>
    <row r="6" s="14" customFormat="1" ht="13.5" customHeight="1">
      <c r="K6" s="1"/>
    </row>
    <row r="7" s="14" customFormat="1" ht="13.5" customHeight="1">
      <c r="S7" s="1"/>
    </row>
    <row r="8" spans="2:19" s="14" customFormat="1" ht="13.5" customHeight="1" thickBot="1">
      <c r="B8" s="19"/>
      <c r="D8" s="19"/>
      <c r="E8" s="73">
        <f>E25/E$15</f>
        <v>0</v>
      </c>
      <c r="F8" s="21">
        <v>0</v>
      </c>
      <c r="G8" s="49">
        <v>0</v>
      </c>
      <c r="H8"/>
      <c r="I8"/>
      <c r="J8"/>
      <c r="K8"/>
      <c r="L8"/>
      <c r="M8"/>
      <c r="N8"/>
      <c r="O8"/>
      <c r="P8"/>
      <c r="Q8"/>
      <c r="R8"/>
      <c r="S8" s="1"/>
    </row>
    <row r="9" spans="2:11" s="14" customFormat="1" ht="13.5" customHeight="1">
      <c r="B9"/>
      <c r="D9" s="46" t="s">
        <v>51</v>
      </c>
      <c r="E9" s="13" t="s">
        <v>1</v>
      </c>
      <c r="F9" s="24" t="s">
        <v>17</v>
      </c>
      <c r="G9" s="24" t="s">
        <v>2</v>
      </c>
      <c r="H9" s="25"/>
      <c r="I9" s="25"/>
      <c r="J9" s="25"/>
      <c r="K9" s="92" t="s">
        <v>43</v>
      </c>
    </row>
    <row r="10" spans="2:45" s="14" customFormat="1" ht="13.5" customHeight="1">
      <c r="B10"/>
      <c r="D10" s="42" t="s">
        <v>1</v>
      </c>
      <c r="E10" s="375">
        <f>-E8-E11-E12</f>
        <v>59285.714285714275</v>
      </c>
      <c r="F10" s="115">
        <f>-F8-F11-F12</f>
        <v>-800</v>
      </c>
      <c r="G10" s="116">
        <f>-G8-G11-G12</f>
        <v>-8766</v>
      </c>
      <c r="H10" s="13" t="s">
        <v>1</v>
      </c>
      <c r="I10" s="13"/>
      <c r="J10" s="13"/>
      <c r="K10" s="92" t="s">
        <v>105</v>
      </c>
      <c r="AS10" s="1"/>
    </row>
    <row r="11" spans="2:45" s="14" customFormat="1" ht="13.5" customHeight="1">
      <c r="B11"/>
      <c r="D11" s="42" t="s">
        <v>17</v>
      </c>
      <c r="E11" s="113">
        <f>E28/E$15</f>
        <v>-35714.28571428571</v>
      </c>
      <c r="F11" s="283">
        <v>320</v>
      </c>
      <c r="G11" s="284">
        <v>2000</v>
      </c>
      <c r="H11" s="24" t="s">
        <v>17</v>
      </c>
      <c r="K11" s="92" t="s">
        <v>44</v>
      </c>
      <c r="Z11" s="1"/>
      <c r="AA11" s="1"/>
      <c r="AB11" s="1"/>
      <c r="AC11" s="1"/>
      <c r="AD11" s="1"/>
      <c r="AE11" s="1"/>
      <c r="AS11" s="1"/>
    </row>
    <row r="12" spans="2:45" s="14" customFormat="1" ht="13.5" customHeight="1" thickBot="1">
      <c r="B12"/>
      <c r="D12" s="42" t="s">
        <v>2</v>
      </c>
      <c r="E12" s="114">
        <f>E29/E$15</f>
        <v>-23571.42857142857</v>
      </c>
      <c r="F12" s="285">
        <v>480</v>
      </c>
      <c r="G12" s="286">
        <f>6766</f>
        <v>6766</v>
      </c>
      <c r="H12" s="24" t="s">
        <v>2</v>
      </c>
      <c r="Z12" s="1"/>
      <c r="AA12" s="1"/>
      <c r="AB12" s="1"/>
      <c r="AC12" s="1"/>
      <c r="AD12" s="1"/>
      <c r="AE12" s="1"/>
      <c r="AS12" s="1"/>
    </row>
    <row r="13" spans="2:45" s="14" customFormat="1" ht="13.5" customHeight="1">
      <c r="B13"/>
      <c r="D13"/>
      <c r="E13" s="13" t="s">
        <v>1</v>
      </c>
      <c r="F13" s="24" t="s">
        <v>17</v>
      </c>
      <c r="G13" s="24" t="s">
        <v>2</v>
      </c>
      <c r="T13" s="19"/>
      <c r="Z13" s="1"/>
      <c r="AA13" s="1"/>
      <c r="AB13" s="1"/>
      <c r="AC13" s="1"/>
      <c r="AD13" s="1"/>
      <c r="AE13" s="1"/>
      <c r="AS13" s="1"/>
    </row>
    <row r="14" spans="2:45" s="14" customFormat="1" ht="13.5" customHeight="1">
      <c r="B14"/>
      <c r="D14" s="19"/>
      <c r="E14"/>
      <c r="F14"/>
      <c r="G14"/>
      <c r="M14"/>
      <c r="N14" s="1"/>
      <c r="O14" s="1"/>
      <c r="P14" s="1"/>
      <c r="Q14" s="1"/>
      <c r="R14" s="1"/>
      <c r="T14" s="19"/>
      <c r="Z14" s="1"/>
      <c r="AA14" s="1"/>
      <c r="AB14" s="1"/>
      <c r="AC14" s="1"/>
      <c r="AD14" s="1"/>
      <c r="AE14" s="1"/>
      <c r="AS14" s="1"/>
    </row>
    <row r="15" spans="2:45" s="14" customFormat="1" ht="13.5" customHeight="1" thickBot="1">
      <c r="B15" s="19"/>
      <c r="C15" s="76">
        <v>0.1</v>
      </c>
      <c r="D15" s="46" t="s">
        <v>45</v>
      </c>
      <c r="E15" s="376">
        <v>2</v>
      </c>
      <c r="F15" s="48">
        <f>-(1-M19)*K15/F10</f>
        <v>98.21428571428571</v>
      </c>
      <c r="G15" s="75">
        <v>20</v>
      </c>
      <c r="H15" s="13"/>
      <c r="I15" s="13"/>
      <c r="J15" s="13"/>
      <c r="K15" s="27">
        <f>(G15*G11)/(1+(1-M19)*F11/F10)</f>
        <v>71428.57142857142</v>
      </c>
      <c r="N15"/>
      <c r="Z15" s="1"/>
      <c r="AA15" s="1"/>
      <c r="AB15" s="1"/>
      <c r="AC15" s="1"/>
      <c r="AD15" s="1"/>
      <c r="AE15" s="1"/>
      <c r="AS15" s="1"/>
    </row>
    <row r="16" spans="2:31" s="14" customFormat="1" ht="13.5" customHeight="1">
      <c r="B16"/>
      <c r="C16" s="56" t="s">
        <v>25</v>
      </c>
      <c r="D16" s="41"/>
      <c r="E16" s="56"/>
      <c r="F16"/>
      <c r="G16" s="57" t="s">
        <v>26</v>
      </c>
      <c r="H16" s="26"/>
      <c r="I16" s="26"/>
      <c r="J16" s="26"/>
      <c r="AB16" s="1"/>
      <c r="AC16" s="1"/>
      <c r="AD16" s="1"/>
      <c r="AE16" s="1"/>
    </row>
    <row r="17" spans="2:31" s="14" customFormat="1" ht="13.5" customHeight="1">
      <c r="B17"/>
      <c r="C17"/>
      <c r="D17"/>
      <c r="E17"/>
      <c r="F17"/>
      <c r="G17"/>
      <c r="AB17" s="1"/>
      <c r="AC17" s="1"/>
      <c r="AD17" s="1"/>
      <c r="AE17" s="1"/>
    </row>
    <row r="18" spans="2:31" s="14" customFormat="1" ht="13.5" customHeight="1">
      <c r="B18"/>
      <c r="C18" s="57" t="s">
        <v>27</v>
      </c>
      <c r="D18"/>
      <c r="E18" s="13" t="s">
        <v>1</v>
      </c>
      <c r="F18" s="24" t="s">
        <v>17</v>
      </c>
      <c r="G18" s="24" t="s">
        <v>2</v>
      </c>
      <c r="H18"/>
      <c r="I18"/>
      <c r="J18"/>
      <c r="K18" s="308" t="s">
        <v>102</v>
      </c>
      <c r="M18" s="40" t="s">
        <v>11</v>
      </c>
      <c r="O18" s="298" t="s">
        <v>128</v>
      </c>
      <c r="AB18" s="1"/>
      <c r="AC18" s="1"/>
      <c r="AD18" s="1"/>
      <c r="AE18" s="1"/>
    </row>
    <row r="19" spans="2:31" s="14" customFormat="1" ht="13.5" customHeight="1" thickBot="1">
      <c r="B19" s="95" t="s">
        <v>46</v>
      </c>
      <c r="C19" s="77">
        <v>7</v>
      </c>
      <c r="D19" s="46" t="s">
        <v>52</v>
      </c>
      <c r="E19" s="363">
        <v>1</v>
      </c>
      <c r="F19" s="88">
        <f>1/3</f>
        <v>0.3333333333333333</v>
      </c>
      <c r="G19" s="89">
        <f>1</f>
        <v>1</v>
      </c>
      <c r="K19" s="22">
        <f>(1-M19)^-C19</f>
        <v>0.5131581182307065</v>
      </c>
      <c r="M19" s="22">
        <f>-C15</f>
        <v>-0.1</v>
      </c>
      <c r="O19" s="22">
        <f>(1-1/K19)/C19</f>
        <v>-0.13553101428571446</v>
      </c>
      <c r="AB19" s="1"/>
      <c r="AC19" s="1"/>
      <c r="AD19" s="1"/>
      <c r="AE19" s="1"/>
    </row>
    <row r="20" spans="3:45" s="14" customFormat="1" ht="13.5" customHeight="1">
      <c r="C20" s="56" t="s">
        <v>110</v>
      </c>
      <c r="H20" s="24"/>
      <c r="I20" s="24"/>
      <c r="J20" s="24"/>
      <c r="K20"/>
      <c r="L20"/>
      <c r="M20"/>
      <c r="N20"/>
      <c r="P20"/>
      <c r="Q20"/>
      <c r="AB20" s="1"/>
      <c r="AC20" s="1"/>
      <c r="AD20" s="1"/>
      <c r="AE20" s="1"/>
      <c r="AS20" s="1"/>
    </row>
    <row r="21" spans="2:45" s="14" customFormat="1" ht="13.5" customHeight="1">
      <c r="B21"/>
      <c r="C21"/>
      <c r="D21"/>
      <c r="E21"/>
      <c r="F21"/>
      <c r="H21"/>
      <c r="I21"/>
      <c r="J21"/>
      <c r="AB21" s="1"/>
      <c r="AC21" s="1"/>
      <c r="AD21" s="1"/>
      <c r="AE21" s="1"/>
      <c r="AS21" s="1"/>
    </row>
    <row r="22" spans="11:45" s="14" customFormat="1" ht="13.5" customHeight="1">
      <c r="K22" s="1"/>
      <c r="L22" s="1"/>
      <c r="P22" s="1"/>
      <c r="Q22" s="1"/>
      <c r="R22" s="1"/>
      <c r="S22" s="1"/>
      <c r="AB22" s="1"/>
      <c r="AC22" s="1"/>
      <c r="AD22" s="1"/>
      <c r="AE22" s="1"/>
      <c r="AS22" s="1"/>
    </row>
    <row r="23" spans="11:45" s="14" customFormat="1" ht="13.5" customHeight="1">
      <c r="K23" s="1"/>
      <c r="AB23" s="1"/>
      <c r="AC23" s="1"/>
      <c r="AD23" s="1"/>
      <c r="AE23" s="1"/>
      <c r="AS23" s="1"/>
    </row>
    <row r="24" spans="9:31" s="14" customFormat="1" ht="13.5" customHeight="1">
      <c r="I24" s="23"/>
      <c r="J24" s="23"/>
      <c r="K24" s="1"/>
      <c r="AB24" s="1"/>
      <c r="AC24" s="1"/>
      <c r="AD24" s="1"/>
      <c r="AE24" s="1"/>
    </row>
    <row r="25" spans="2:45" s="14" customFormat="1" ht="13.5" customHeight="1" thickBot="1">
      <c r="B25"/>
      <c r="C25" s="27"/>
      <c r="D25" s="19"/>
      <c r="E25" s="73">
        <f>-SUM(F25:G25)</f>
        <v>0</v>
      </c>
      <c r="F25" s="21">
        <f>F$15*F8</f>
        <v>0</v>
      </c>
      <c r="G25" s="49">
        <f>G$15*G8</f>
        <v>0</v>
      </c>
      <c r="H25" s="23"/>
      <c r="K25" s="1"/>
      <c r="M25" s="41"/>
      <c r="N25" s="1"/>
      <c r="O25" s="41"/>
      <c r="P25"/>
      <c r="Q25" s="85">
        <f>E8/E$19/3</f>
        <v>0</v>
      </c>
      <c r="R25" s="86">
        <f>F8/F$19/3</f>
        <v>0</v>
      </c>
      <c r="S25" s="87">
        <f>G8/G$19/3</f>
        <v>0</v>
      </c>
      <c r="AB25" s="1"/>
      <c r="AC25" s="1"/>
      <c r="AD25" s="1"/>
      <c r="AE25" s="1"/>
      <c r="AS25" s="1"/>
    </row>
    <row r="26" spans="2:45" s="14" customFormat="1" ht="13.5" customHeight="1">
      <c r="B26"/>
      <c r="C26" s="40" t="s">
        <v>21</v>
      </c>
      <c r="D26" s="46" t="s">
        <v>53</v>
      </c>
      <c r="E26" s="13">
        <v>0</v>
      </c>
      <c r="F26" s="24" t="s">
        <v>17</v>
      </c>
      <c r="G26" s="24" t="s">
        <v>2</v>
      </c>
      <c r="K26" s="1"/>
      <c r="M26" s="268"/>
      <c r="O26" s="268"/>
      <c r="P26" s="46" t="s">
        <v>48</v>
      </c>
      <c r="Q26" s="53">
        <v>0</v>
      </c>
      <c r="R26" s="53" t="s">
        <v>17</v>
      </c>
      <c r="S26" s="53" t="s">
        <v>2</v>
      </c>
      <c r="AB26" s="1"/>
      <c r="AC26" s="1"/>
      <c r="AD26" s="1"/>
      <c r="AE26" s="1"/>
      <c r="AS26" s="1"/>
    </row>
    <row r="27" spans="2:45" s="14" customFormat="1" ht="13.5" customHeight="1">
      <c r="B27" s="19"/>
      <c r="C27" s="96">
        <f>-E25</f>
        <v>0</v>
      </c>
      <c r="D27" s="42" t="s">
        <v>1</v>
      </c>
      <c r="E27" s="112">
        <f>-SUM(F27:G27)</f>
        <v>118571.42857142857</v>
      </c>
      <c r="F27" s="115">
        <f>-F25-SUM(F28:F29)</f>
        <v>-78571.42857142857</v>
      </c>
      <c r="G27" s="116">
        <f>-G25-SUM(G28:G29)</f>
        <v>-40000</v>
      </c>
      <c r="K27" s="1"/>
      <c r="L27" s="13" t="s">
        <v>1</v>
      </c>
      <c r="M27" s="94"/>
      <c r="O27" s="94"/>
      <c r="P27" s="13" t="s">
        <v>1</v>
      </c>
      <c r="Q27" s="100">
        <f aca="true" t="shared" si="0" ref="Q27:S29">E10/E$19/3</f>
        <v>19761.90476190476</v>
      </c>
      <c r="R27" s="103">
        <f t="shared" si="0"/>
        <v>-800</v>
      </c>
      <c r="S27" s="104">
        <f t="shared" si="0"/>
        <v>-2922</v>
      </c>
      <c r="T27" s="13" t="s">
        <v>1</v>
      </c>
      <c r="AB27" s="1"/>
      <c r="AC27" s="1"/>
      <c r="AD27" s="1"/>
      <c r="AE27" s="1"/>
      <c r="AS27" s="1"/>
    </row>
    <row r="28" spans="2:45" s="14" customFormat="1" ht="13.5" customHeight="1">
      <c r="B28"/>
      <c r="C28" s="97">
        <f>F27-E28</f>
        <v>-7142.857142857145</v>
      </c>
      <c r="D28" s="42" t="s">
        <v>17</v>
      </c>
      <c r="E28" s="113">
        <f>-SUM(F28:G28)</f>
        <v>-71428.57142857142</v>
      </c>
      <c r="F28" s="109">
        <f>F$15*F11</f>
        <v>31428.571428571428</v>
      </c>
      <c r="G28" s="110">
        <f>G$15*G11</f>
        <v>40000</v>
      </c>
      <c r="K28" s="1"/>
      <c r="L28" s="24" t="s">
        <v>17</v>
      </c>
      <c r="M28" s="98">
        <f>C28/M$19</f>
        <v>71428.57142857145</v>
      </c>
      <c r="O28" s="98"/>
      <c r="P28" s="24" t="s">
        <v>17</v>
      </c>
      <c r="Q28" s="101">
        <f t="shared" si="0"/>
        <v>-11904.761904761903</v>
      </c>
      <c r="R28" s="105">
        <f t="shared" si="0"/>
        <v>320</v>
      </c>
      <c r="S28" s="106">
        <f t="shared" si="0"/>
        <v>666.6666666666666</v>
      </c>
      <c r="T28" s="24" t="s">
        <v>17</v>
      </c>
      <c r="AB28" s="1"/>
      <c r="AC28" s="1"/>
      <c r="AD28" s="1"/>
      <c r="AE28" s="1"/>
      <c r="AS28" s="1"/>
    </row>
    <row r="29" spans="2:45" s="14" customFormat="1" ht="13.5" customHeight="1" thickBot="1">
      <c r="B29"/>
      <c r="C29" s="117">
        <f>G27-E29</f>
        <v>7142.857142857138</v>
      </c>
      <c r="D29" s="42" t="s">
        <v>2</v>
      </c>
      <c r="E29" s="114">
        <f>-SUM(F29:G29)</f>
        <v>-47142.85714285714</v>
      </c>
      <c r="F29" s="111">
        <f>F$15*F12</f>
        <v>47142.85714285714</v>
      </c>
      <c r="G29" s="123">
        <v>0</v>
      </c>
      <c r="K29" s="1"/>
      <c r="L29" s="24" t="s">
        <v>2</v>
      </c>
      <c r="M29" s="99"/>
      <c r="O29" s="99">
        <f>C29/O$19/3</f>
        <v>-17567.583283432577</v>
      </c>
      <c r="P29" s="24" t="s">
        <v>2</v>
      </c>
      <c r="Q29" s="102">
        <f t="shared" si="0"/>
        <v>-7857.142857142856</v>
      </c>
      <c r="R29" s="107">
        <f t="shared" si="0"/>
        <v>480</v>
      </c>
      <c r="S29" s="108">
        <f t="shared" si="0"/>
        <v>2255.3333333333335</v>
      </c>
      <c r="T29" s="24" t="s">
        <v>2</v>
      </c>
      <c r="AB29" s="1"/>
      <c r="AC29" s="1"/>
      <c r="AD29" s="1"/>
      <c r="AE29" s="1"/>
      <c r="AS29" s="1"/>
    </row>
    <row r="30" spans="2:45" s="14" customFormat="1" ht="13.5" customHeight="1">
      <c r="B30"/>
      <c r="I30" s="1"/>
      <c r="J30" s="1"/>
      <c r="K30" s="1"/>
      <c r="O30" s="19"/>
      <c r="P30" s="19"/>
      <c r="Q30" s="19"/>
      <c r="R30" s="19"/>
      <c r="S30" s="19"/>
      <c r="T30" s="19"/>
      <c r="AB30" s="1"/>
      <c r="AC30" s="1"/>
      <c r="AD30" s="1"/>
      <c r="AE30" s="1"/>
      <c r="AL30" s="19"/>
      <c r="AS30" s="1"/>
    </row>
    <row r="31" spans="8:45" s="14" customFormat="1" ht="13.5" customHeight="1">
      <c r="H31" s="1"/>
      <c r="O31" s="41"/>
      <c r="P31" s="41"/>
      <c r="Q31" s="41"/>
      <c r="R31" s="41"/>
      <c r="S31" s="41"/>
      <c r="T31" s="19"/>
      <c r="AB31" s="1"/>
      <c r="AC31" s="1"/>
      <c r="AD31" s="1"/>
      <c r="AE31" s="1"/>
      <c r="AL31" s="19"/>
      <c r="AS31" s="1"/>
    </row>
    <row r="32" spans="5:45" s="14" customFormat="1" ht="13.5" customHeight="1" thickBot="1">
      <c r="E32" s="73"/>
      <c r="F32" s="21"/>
      <c r="G32" s="49"/>
      <c r="K32"/>
      <c r="O32" s="41"/>
      <c r="P32" s="12"/>
      <c r="Q32" s="85">
        <f>Q25</f>
        <v>0</v>
      </c>
      <c r="R32" s="86">
        <f>R25</f>
        <v>0</v>
      </c>
      <c r="S32" s="87">
        <f>S25</f>
        <v>0</v>
      </c>
      <c r="T32" s="19"/>
      <c r="AB32" s="1"/>
      <c r="AC32" s="1"/>
      <c r="AD32" s="1"/>
      <c r="AE32" s="1"/>
      <c r="AL32" s="19"/>
      <c r="AS32" s="1"/>
    </row>
    <row r="33" spans="3:45" s="14" customFormat="1" ht="13.5" customHeight="1">
      <c r="C33" s="40" t="s">
        <v>30</v>
      </c>
      <c r="D33" s="46" t="s">
        <v>54</v>
      </c>
      <c r="E33" s="13" t="s">
        <v>1</v>
      </c>
      <c r="F33" s="24" t="s">
        <v>17</v>
      </c>
      <c r="G33" s="24" t="s">
        <v>2</v>
      </c>
      <c r="K33" s="1"/>
      <c r="O33" s="268"/>
      <c r="P33" s="47" t="s">
        <v>49</v>
      </c>
      <c r="Q33" s="53">
        <v>0</v>
      </c>
      <c r="R33" s="24" t="s">
        <v>17</v>
      </c>
      <c r="S33" s="24" t="s">
        <v>2</v>
      </c>
      <c r="T33" s="19"/>
      <c r="AB33" s="1"/>
      <c r="AC33" s="1"/>
      <c r="AD33" s="1"/>
      <c r="AE33" s="1"/>
      <c r="AL33" s="19"/>
      <c r="AS33" s="1"/>
    </row>
    <row r="34" spans="1:44" s="52" customFormat="1" ht="13.5" customHeight="1">
      <c r="A34" s="14"/>
      <c r="B34" s="14"/>
      <c r="C34" s="96">
        <f>0</f>
        <v>0</v>
      </c>
      <c r="D34" s="13" t="s">
        <v>1</v>
      </c>
      <c r="E34" s="112">
        <f>-E10+((G40-G44)-(G52-G56))/E15</f>
        <v>-316172.557204648</v>
      </c>
      <c r="F34" s="118">
        <f>E44</f>
        <v>6767.776527594292</v>
      </c>
      <c r="G34" s="119">
        <f>-G10</f>
        <v>8766</v>
      </c>
      <c r="H34" s="14"/>
      <c r="K34" s="1"/>
      <c r="L34" s="14"/>
      <c r="M34" s="14"/>
      <c r="N34" s="14"/>
      <c r="O34" s="94"/>
      <c r="P34" s="13" t="s">
        <v>1</v>
      </c>
      <c r="Q34" s="100">
        <f>Q27</f>
        <v>19761.90476190476</v>
      </c>
      <c r="R34" s="103">
        <f aca="true" t="shared" si="1" ref="R34:S36">R27</f>
        <v>-800</v>
      </c>
      <c r="S34" s="104">
        <f t="shared" si="1"/>
        <v>-2922</v>
      </c>
      <c r="T34" s="13" t="s">
        <v>1</v>
      </c>
      <c r="Y34" s="14"/>
      <c r="AB34" s="1"/>
      <c r="AC34" s="1"/>
      <c r="AD34" s="1"/>
      <c r="AE34" s="1"/>
      <c r="AF34" s="14"/>
      <c r="AG34" s="14"/>
      <c r="AH34" s="14"/>
      <c r="AI34" s="14"/>
      <c r="AJ34" s="14"/>
      <c r="AK34" s="14"/>
      <c r="AL34" s="14"/>
      <c r="AM34" s="14"/>
      <c r="AN34" s="14"/>
      <c r="AO34" s="14"/>
      <c r="AP34" s="14"/>
      <c r="AQ34" s="14"/>
      <c r="AR34" s="14"/>
    </row>
    <row r="35" spans="1:45" s="14" customFormat="1" ht="13.5" customHeight="1">
      <c r="A35" s="52"/>
      <c r="C35" s="97">
        <f>B44</f>
        <v>586120.9089601537</v>
      </c>
      <c r="D35" s="24" t="s">
        <v>17</v>
      </c>
      <c r="E35" s="113"/>
      <c r="F35" s="120">
        <f>E45</f>
        <v>5647.776527594292</v>
      </c>
      <c r="G35" s="121">
        <f>E46</f>
        <v>27306.045448007684</v>
      </c>
      <c r="H35" s="52"/>
      <c r="K35" s="41"/>
      <c r="L35" s="304" t="s">
        <v>125</v>
      </c>
      <c r="M35" s="52"/>
      <c r="O35" s="98"/>
      <c r="P35" s="24" t="s">
        <v>17</v>
      </c>
      <c r="Q35" s="101">
        <f>Q28</f>
        <v>-11904.761904761903</v>
      </c>
      <c r="R35" s="105">
        <f t="shared" si="1"/>
        <v>320</v>
      </c>
      <c r="S35" s="106">
        <f t="shared" si="1"/>
        <v>666.6666666666666</v>
      </c>
      <c r="T35" s="24" t="s">
        <v>17</v>
      </c>
      <c r="AB35" s="1"/>
      <c r="AC35" s="1"/>
      <c r="AD35" s="1"/>
      <c r="AE35" s="1"/>
      <c r="AS35" s="1"/>
    </row>
    <row r="36" spans="3:45" s="14" customFormat="1" ht="13.5" customHeight="1" thickBot="1">
      <c r="C36" s="117">
        <f>B56</f>
        <v>72347.2231222863</v>
      </c>
      <c r="D36" s="24" t="s">
        <v>2</v>
      </c>
      <c r="E36" s="114"/>
      <c r="F36" s="122">
        <f>E57</f>
        <v>256.6262717905515</v>
      </c>
      <c r="G36" s="292">
        <f>E56</f>
        <v>-10383.361156114315</v>
      </c>
      <c r="K36" s="19"/>
      <c r="L36" s="305" t="s">
        <v>133</v>
      </c>
      <c r="O36" s="99">
        <f>O29</f>
        <v>-17567.583283432577</v>
      </c>
      <c r="P36" s="24" t="s">
        <v>2</v>
      </c>
      <c r="Q36" s="102">
        <f>Q29</f>
        <v>-7857.142857142856</v>
      </c>
      <c r="R36" s="107">
        <f t="shared" si="1"/>
        <v>480</v>
      </c>
      <c r="S36" s="108">
        <f t="shared" si="1"/>
        <v>2255.3333333333335</v>
      </c>
      <c r="T36" s="24" t="s">
        <v>2</v>
      </c>
      <c r="Z36" s="1"/>
      <c r="AA36" s="1"/>
      <c r="AB36" s="1"/>
      <c r="AC36" s="1"/>
      <c r="AD36" s="1"/>
      <c r="AE36" s="1"/>
      <c r="AS36" s="1"/>
    </row>
    <row r="37" spans="3:45" s="14" customFormat="1" ht="13.5" customHeight="1">
      <c r="C37" s="52"/>
      <c r="D37" s="52"/>
      <c r="E37" s="52"/>
      <c r="F37" s="52"/>
      <c r="G37" s="52"/>
      <c r="N37" s="52"/>
      <c r="O37" s="19"/>
      <c r="P37" s="41"/>
      <c r="Q37" s="19"/>
      <c r="R37" s="19"/>
      <c r="S37" s="19"/>
      <c r="T37" s="41"/>
      <c r="V37" s="19"/>
      <c r="W37" s="19"/>
      <c r="X37" s="19"/>
      <c r="Y37" s="19"/>
      <c r="Z37" s="1"/>
      <c r="AA37" s="1"/>
      <c r="AB37" s="1"/>
      <c r="AC37" s="1"/>
      <c r="AD37" s="1"/>
      <c r="AE37" s="1"/>
      <c r="AS37" s="1"/>
    </row>
    <row r="38" spans="2:45" s="14" customFormat="1" ht="13.5" customHeight="1">
      <c r="B38" s="1"/>
      <c r="O38" s="19"/>
      <c r="P38" s="41"/>
      <c r="Q38" s="19"/>
      <c r="R38" s="19"/>
      <c r="S38" s="19"/>
      <c r="T38" s="41"/>
      <c r="Y38" s="19"/>
      <c r="AA38" s="1"/>
      <c r="AB38" s="1"/>
      <c r="AC38" s="1"/>
      <c r="AD38" s="1"/>
      <c r="AE38" s="1"/>
      <c r="AS38" s="1"/>
    </row>
    <row r="39" spans="2:45" s="14" customFormat="1" ht="13.5" customHeight="1" thickBot="1">
      <c r="B39" s="1"/>
      <c r="C39"/>
      <c r="D39"/>
      <c r="E39"/>
      <c r="F39"/>
      <c r="G39" s="28" t="s">
        <v>3</v>
      </c>
      <c r="I39" s="52"/>
      <c r="J39" s="52"/>
      <c r="O39" s="41"/>
      <c r="P39" s="19"/>
      <c r="Q39" s="85">
        <f>Q32</f>
        <v>0</v>
      </c>
      <c r="R39" s="86">
        <f>R32</f>
        <v>0</v>
      </c>
      <c r="S39" s="87">
        <f>S32</f>
        <v>0</v>
      </c>
      <c r="T39" s="41"/>
      <c r="Y39" s="19"/>
      <c r="AA39" s="1"/>
      <c r="AB39" s="1"/>
      <c r="AC39" s="1"/>
      <c r="AD39" s="1"/>
      <c r="AE39" s="1"/>
      <c r="AS39" s="1"/>
    </row>
    <row r="40" spans="1:45" s="14" customFormat="1" ht="13.5" customHeight="1">
      <c r="A40" s="93" t="s">
        <v>0</v>
      </c>
      <c r="B40" s="29">
        <f>G40-G41-G42</f>
        <v>7142.857142857138</v>
      </c>
      <c r="D40" s="279" t="s">
        <v>106</v>
      </c>
      <c r="E40" s="58">
        <f>-F10</f>
        <v>800</v>
      </c>
      <c r="F40" s="59">
        <f>F15</f>
        <v>98.21428571428571</v>
      </c>
      <c r="G40" s="30">
        <f>E40*F40</f>
        <v>78571.42857142857</v>
      </c>
      <c r="H40" s="52"/>
      <c r="O40" s="268"/>
      <c r="P40" s="47" t="s">
        <v>50</v>
      </c>
      <c r="Q40" s="53">
        <v>0</v>
      </c>
      <c r="R40" s="24" t="s">
        <v>17</v>
      </c>
      <c r="S40" s="24" t="s">
        <v>2</v>
      </c>
      <c r="T40"/>
      <c r="Y40" s="19"/>
      <c r="AA40" s="1"/>
      <c r="AB40" s="1"/>
      <c r="AC40" s="1"/>
      <c r="AD40" s="1"/>
      <c r="AE40" s="1"/>
      <c r="AS40" s="1"/>
    </row>
    <row r="41" spans="1:31" s="14" customFormat="1" ht="13.5" customHeight="1">
      <c r="A41" s="93" t="s">
        <v>4</v>
      </c>
      <c r="B41" s="31">
        <f>-G40*G41-G40*G42+G41*G42</f>
        <v>-4355102040.816326</v>
      </c>
      <c r="D41" s="280" t="s">
        <v>36</v>
      </c>
      <c r="E41" s="60">
        <f>F11</f>
        <v>320</v>
      </c>
      <c r="F41" s="61">
        <f>F15</f>
        <v>98.21428571428571</v>
      </c>
      <c r="G41" s="32">
        <f>E41*F41</f>
        <v>31428.571428571428</v>
      </c>
      <c r="O41" s="94"/>
      <c r="P41" s="13" t="s">
        <v>1</v>
      </c>
      <c r="Q41" s="100">
        <f>Q34</f>
        <v>19761.90476190476</v>
      </c>
      <c r="R41" s="103">
        <f aca="true" t="shared" si="2" ref="R41:S43">R34</f>
        <v>-800</v>
      </c>
      <c r="S41" s="104">
        <f t="shared" si="2"/>
        <v>-2922</v>
      </c>
      <c r="T41" s="13" t="s">
        <v>1</v>
      </c>
      <c r="V41" s="19"/>
      <c r="W41" s="19"/>
      <c r="X41" s="19"/>
      <c r="Y41" s="19"/>
      <c r="AA41" s="1"/>
      <c r="AB41" s="1"/>
      <c r="AC41" s="1"/>
      <c r="AD41" s="1"/>
      <c r="AE41" s="1"/>
    </row>
    <row r="42" spans="1:44" ht="13.5" customHeight="1">
      <c r="A42" s="93" t="s">
        <v>5</v>
      </c>
      <c r="B42" s="33">
        <f>G40*G41*G42</f>
        <v>98775510204081.62</v>
      </c>
      <c r="C42" s="14"/>
      <c r="D42" s="280" t="s">
        <v>55</v>
      </c>
      <c r="E42" s="60">
        <f>G11</f>
        <v>2000</v>
      </c>
      <c r="F42" s="61">
        <f>G15</f>
        <v>20</v>
      </c>
      <c r="G42" s="34">
        <f>E42*F42</f>
        <v>40000</v>
      </c>
      <c r="H42" s="14"/>
      <c r="K42" s="14"/>
      <c r="L42" s="14"/>
      <c r="M42" s="14"/>
      <c r="N42" s="14"/>
      <c r="O42" s="98"/>
      <c r="P42" s="24" t="s">
        <v>17</v>
      </c>
      <c r="Q42" s="101">
        <f>Q35</f>
        <v>-11904.761904761903</v>
      </c>
      <c r="R42" s="105">
        <f t="shared" si="2"/>
        <v>320</v>
      </c>
      <c r="S42" s="106">
        <f t="shared" si="2"/>
        <v>666.6666666666666</v>
      </c>
      <c r="T42" s="24" t="s">
        <v>17</v>
      </c>
      <c r="U42" s="14"/>
      <c r="V42" s="19"/>
      <c r="W42" s="19"/>
      <c r="X42" s="19"/>
      <c r="Y42" s="19"/>
      <c r="AF42" s="14"/>
      <c r="AG42" s="14"/>
      <c r="AH42" s="14"/>
      <c r="AI42" s="14"/>
      <c r="AJ42" s="14"/>
      <c r="AK42" s="14"/>
      <c r="AL42" s="14"/>
      <c r="AM42" s="14"/>
      <c r="AN42" s="14"/>
      <c r="AO42" s="14"/>
      <c r="AP42" s="14"/>
      <c r="AQ42" s="14"/>
      <c r="AR42" s="14"/>
    </row>
    <row r="43" spans="2:44" ht="13.5" customHeight="1" thickBot="1">
      <c r="B43" s="19"/>
      <c r="D43" s="282"/>
      <c r="E43" s="35"/>
      <c r="F43" s="36" t="s">
        <v>6</v>
      </c>
      <c r="G43" s="28" t="s">
        <v>12</v>
      </c>
      <c r="L43" s="14"/>
      <c r="N43" s="14"/>
      <c r="O43" s="99">
        <f>O36</f>
        <v>-17567.583283432577</v>
      </c>
      <c r="P43" s="24" t="s">
        <v>2</v>
      </c>
      <c r="Q43" s="102">
        <f>Q36</f>
        <v>-7857.142857142856</v>
      </c>
      <c r="R43" s="107">
        <f t="shared" si="2"/>
        <v>480</v>
      </c>
      <c r="S43" s="108">
        <f t="shared" si="2"/>
        <v>2255.3333333333335</v>
      </c>
      <c r="T43" s="24" t="s">
        <v>2</v>
      </c>
      <c r="Y43" s="19"/>
      <c r="AF43" s="14"/>
      <c r="AG43" s="14"/>
      <c r="AH43" s="14"/>
      <c r="AI43" s="14"/>
      <c r="AJ43" s="14"/>
      <c r="AK43" s="14"/>
      <c r="AL43" s="14"/>
      <c r="AM43" s="14"/>
      <c r="AN43" s="14"/>
      <c r="AO43" s="14"/>
      <c r="AP43" s="14"/>
      <c r="AQ43" s="14"/>
      <c r="AR43" s="14"/>
    </row>
    <row r="44" spans="1:44" ht="13.5" customHeight="1">
      <c r="A44" s="43" t="s">
        <v>20</v>
      </c>
      <c r="B44" s="50">
        <f>(-B41+SQRT(B41^2-4*B40*B42))/(2*B40)</f>
        <v>586120.9089601537</v>
      </c>
      <c r="D44" s="280" t="s">
        <v>37</v>
      </c>
      <c r="E44" s="37">
        <f>G44/F40</f>
        <v>6767.776527594292</v>
      </c>
      <c r="F44" s="35"/>
      <c r="G44" s="30">
        <f>B44+G40</f>
        <v>664692.3375315822</v>
      </c>
      <c r="L44" s="14"/>
      <c r="N44" s="14"/>
      <c r="O44" s="19"/>
      <c r="P44" s="19"/>
      <c r="Q44" s="19"/>
      <c r="R44" s="14"/>
      <c r="S44" s="14"/>
      <c r="T44" s="14"/>
      <c r="Y44" s="19"/>
      <c r="AF44" s="14"/>
      <c r="AG44" s="14"/>
      <c r="AH44" s="14"/>
      <c r="AI44" s="14"/>
      <c r="AJ44" s="14"/>
      <c r="AK44" s="14"/>
      <c r="AL44" s="14"/>
      <c r="AM44" s="14"/>
      <c r="AN44" s="14"/>
      <c r="AO44" s="14"/>
      <c r="AP44" s="14"/>
      <c r="AQ44" s="14"/>
      <c r="AR44" s="14"/>
    </row>
    <row r="45" spans="1:44" ht="13.5" customHeight="1">
      <c r="A45"/>
      <c r="B45" s="52"/>
      <c r="D45" s="280" t="s">
        <v>38</v>
      </c>
      <c r="E45" s="38">
        <f>G45/F41</f>
        <v>5647.776527594292</v>
      </c>
      <c r="F45" s="51"/>
      <c r="G45" s="32">
        <f>B44-G41</f>
        <v>554692.3375315822</v>
      </c>
      <c r="L45" s="14"/>
      <c r="N45" s="19"/>
      <c r="O45" s="19"/>
      <c r="P45" s="19"/>
      <c r="Q45" s="19"/>
      <c r="R45" s="19"/>
      <c r="S45" s="19"/>
      <c r="AF45" s="14"/>
      <c r="AG45" s="14"/>
      <c r="AH45" s="14"/>
      <c r="AI45" s="14"/>
      <c r="AJ45" s="14"/>
      <c r="AK45" s="14"/>
      <c r="AL45" s="14"/>
      <c r="AM45" s="14"/>
      <c r="AN45" s="14"/>
      <c r="AO45" s="14"/>
      <c r="AP45" s="14"/>
      <c r="AQ45" s="14"/>
      <c r="AR45" s="14"/>
    </row>
    <row r="46" spans="4:44" ht="13.5" customHeight="1" thickBot="1">
      <c r="D46" s="280" t="s">
        <v>56</v>
      </c>
      <c r="E46" s="38">
        <f>G46/F42</f>
        <v>27306.045448007684</v>
      </c>
      <c r="F46" s="35"/>
      <c r="G46" s="32">
        <f>B44-G42</f>
        <v>546120.9089601537</v>
      </c>
      <c r="K46" s="14"/>
      <c r="L46" s="14"/>
      <c r="N46" s="14"/>
      <c r="O46" s="14"/>
      <c r="R46"/>
      <c r="S46" s="373">
        <f>E56/G19</f>
        <v>-10383.361156114315</v>
      </c>
      <c r="AF46" s="14"/>
      <c r="AG46" s="14"/>
      <c r="AH46" s="14"/>
      <c r="AI46" s="14"/>
      <c r="AJ46" s="14"/>
      <c r="AK46" s="14"/>
      <c r="AL46" s="14"/>
      <c r="AM46" s="14"/>
      <c r="AN46" s="14"/>
      <c r="AO46" s="14"/>
      <c r="AP46" s="14"/>
      <c r="AQ46" s="14"/>
      <c r="AR46" s="14"/>
    </row>
    <row r="47" spans="1:44" ht="13.5" customHeight="1">
      <c r="A47"/>
      <c r="B47"/>
      <c r="D47" s="44"/>
      <c r="E47"/>
      <c r="F47"/>
      <c r="G47"/>
      <c r="P47" s="13"/>
      <c r="Q47"/>
      <c r="R47"/>
      <c r="S47"/>
      <c r="AF47" s="14"/>
      <c r="AG47" s="14"/>
      <c r="AH47" s="14"/>
      <c r="AI47" s="14"/>
      <c r="AJ47" s="14"/>
      <c r="AK47" s="14"/>
      <c r="AL47" s="14"/>
      <c r="AM47" s="14"/>
      <c r="AN47" s="14"/>
      <c r="AO47" s="14"/>
      <c r="AP47" s="14"/>
      <c r="AQ47" s="14"/>
      <c r="AR47" s="14"/>
    </row>
    <row r="48" spans="2:44" ht="13.5" customHeight="1">
      <c r="B48">
        <f>D48*E48*F48</f>
        <v>1</v>
      </c>
      <c r="D48">
        <f>1+G40/B44</f>
        <v>1.1340532770121157</v>
      </c>
      <c r="E48">
        <f>1-G41/B44</f>
        <v>0.9463786891951537</v>
      </c>
      <c r="F48">
        <f>1-G42/B44</f>
        <v>0.9317546953392866</v>
      </c>
      <c r="P48" s="14"/>
      <c r="Q48" s="14"/>
      <c r="AF48" s="14"/>
      <c r="AG48" s="14"/>
      <c r="AH48" s="14"/>
      <c r="AI48" s="14"/>
      <c r="AJ48" s="14"/>
      <c r="AK48" s="14"/>
      <c r="AL48" s="14"/>
      <c r="AM48" s="14"/>
      <c r="AN48" s="14"/>
      <c r="AO48" s="14"/>
      <c r="AP48" s="14"/>
      <c r="AQ48" s="14"/>
      <c r="AR48" s="14"/>
    </row>
    <row r="49" spans="32:44" ht="13.5" customHeight="1">
      <c r="AF49" s="14"/>
      <c r="AG49" s="14"/>
      <c r="AH49" s="14"/>
      <c r="AI49" s="14"/>
      <c r="AJ49" s="14"/>
      <c r="AK49" s="14"/>
      <c r="AL49" s="14"/>
      <c r="AM49" s="14"/>
      <c r="AN49" s="14"/>
      <c r="AO49" s="14"/>
      <c r="AP49" s="14"/>
      <c r="AQ49" s="14"/>
      <c r="AR49" s="14"/>
    </row>
    <row r="50" spans="32:44" ht="13.5" customHeight="1">
      <c r="AF50" s="14"/>
      <c r="AG50" s="14"/>
      <c r="AH50" s="14"/>
      <c r="AI50" s="14"/>
      <c r="AJ50" s="14"/>
      <c r="AK50" s="14"/>
      <c r="AL50" s="14"/>
      <c r="AM50" s="14"/>
      <c r="AN50" s="14"/>
      <c r="AO50" s="14"/>
      <c r="AP50" s="14"/>
      <c r="AQ50" s="14"/>
      <c r="AR50" s="14"/>
    </row>
    <row r="51" spans="4:44" ht="13.5" customHeight="1">
      <c r="D51" s="44"/>
      <c r="E51"/>
      <c r="F51"/>
      <c r="G51" s="28" t="s">
        <v>3</v>
      </c>
      <c r="AF51" s="14"/>
      <c r="AG51" s="14"/>
      <c r="AH51" s="14"/>
      <c r="AI51" s="14"/>
      <c r="AJ51" s="14"/>
      <c r="AK51" s="14"/>
      <c r="AL51" s="14"/>
      <c r="AM51" s="14"/>
      <c r="AN51" s="14"/>
      <c r="AO51" s="14"/>
      <c r="AP51" s="14"/>
      <c r="AQ51" s="14"/>
      <c r="AR51" s="14"/>
    </row>
    <row r="52" spans="4:44" ht="13.5" customHeight="1">
      <c r="D52" s="279" t="s">
        <v>106</v>
      </c>
      <c r="E52" s="90">
        <f>-G12</f>
        <v>-6766</v>
      </c>
      <c r="F52" s="91">
        <f>-G15</f>
        <v>-20</v>
      </c>
      <c r="G52" s="15">
        <f>E52*F52</f>
        <v>135320</v>
      </c>
      <c r="AF52" s="14"/>
      <c r="AG52" s="14"/>
      <c r="AH52" s="14"/>
      <c r="AI52" s="14"/>
      <c r="AJ52" s="14"/>
      <c r="AK52" s="14"/>
      <c r="AL52" s="14"/>
      <c r="AM52" s="14"/>
      <c r="AN52" s="14"/>
      <c r="AO52" s="14"/>
      <c r="AP52" s="14"/>
      <c r="AQ52" s="14"/>
      <c r="AR52" s="14"/>
    </row>
    <row r="53" spans="4:44" ht="13.5" customHeight="1">
      <c r="D53" s="280" t="s">
        <v>36</v>
      </c>
      <c r="E53" s="62">
        <f>F12</f>
        <v>480</v>
      </c>
      <c r="F53" s="63">
        <f>F15</f>
        <v>98.21428571428571</v>
      </c>
      <c r="G53" s="16">
        <f>E53*F53</f>
        <v>47142.85714285714</v>
      </c>
      <c r="AF53" s="14"/>
      <c r="AG53" s="14"/>
      <c r="AH53" s="14"/>
      <c r="AI53" s="14"/>
      <c r="AJ53" s="14"/>
      <c r="AK53" s="14"/>
      <c r="AL53" s="14"/>
      <c r="AM53" s="14"/>
      <c r="AN53" s="14"/>
      <c r="AO53" s="14"/>
      <c r="AP53" s="14"/>
      <c r="AQ53" s="14"/>
      <c r="AR53" s="14"/>
    </row>
    <row r="54" spans="4:44" ht="13.5" customHeight="1">
      <c r="D54" s="281"/>
      <c r="F54" s="36" t="s">
        <v>6</v>
      </c>
      <c r="AF54" s="14"/>
      <c r="AG54" s="14"/>
      <c r="AH54" s="14"/>
      <c r="AI54" s="14"/>
      <c r="AJ54" s="14"/>
      <c r="AK54" s="14"/>
      <c r="AL54" s="14"/>
      <c r="AM54" s="14"/>
      <c r="AN54" s="14"/>
      <c r="AO54" s="14"/>
      <c r="AP54" s="14"/>
      <c r="AQ54" s="14"/>
      <c r="AR54" s="14"/>
    </row>
    <row r="55" spans="1:44" ht="13.5" customHeight="1">
      <c r="A55"/>
      <c r="B55" s="14"/>
      <c r="D55" s="282"/>
      <c r="E55" s="14"/>
      <c r="G55" s="28" t="s">
        <v>12</v>
      </c>
      <c r="AF55" s="14"/>
      <c r="AG55" s="14"/>
      <c r="AH55" s="14"/>
      <c r="AI55" s="14"/>
      <c r="AJ55" s="14"/>
      <c r="AK55" s="14"/>
      <c r="AL55" s="14"/>
      <c r="AM55" s="14"/>
      <c r="AN55" s="14"/>
      <c r="AO55" s="14"/>
      <c r="AP55" s="14"/>
      <c r="AQ55" s="14"/>
      <c r="AR55" s="14"/>
    </row>
    <row r="56" spans="1:44" ht="13.5" customHeight="1">
      <c r="A56" s="43" t="s">
        <v>20</v>
      </c>
      <c r="B56" s="20">
        <f>E53*E52/(E52/F53-E53/F52)</f>
        <v>72347.2231222863</v>
      </c>
      <c r="D56" s="280" t="s">
        <v>37</v>
      </c>
      <c r="E56" s="18">
        <f>G56/F52</f>
        <v>-10383.361156114315</v>
      </c>
      <c r="F56" s="14"/>
      <c r="G56" s="15">
        <f>B$56+G52</f>
        <v>207667.22312228632</v>
      </c>
      <c r="AF56" s="14"/>
      <c r="AG56" s="14"/>
      <c r="AH56" s="14"/>
      <c r="AI56" s="14"/>
      <c r="AJ56" s="14"/>
      <c r="AK56" s="14"/>
      <c r="AL56" s="14"/>
      <c r="AM56" s="14"/>
      <c r="AN56" s="14"/>
      <c r="AO56" s="14"/>
      <c r="AP56" s="14"/>
      <c r="AQ56" s="14"/>
      <c r="AR56" s="14"/>
    </row>
    <row r="57" spans="4:44" ht="13.5" customHeight="1">
      <c r="D57" s="280" t="s">
        <v>38</v>
      </c>
      <c r="E57" s="17">
        <f>G57/F53</f>
        <v>256.6262717905515</v>
      </c>
      <c r="F57" s="14"/>
      <c r="G57" s="32">
        <f>B$56-G53</f>
        <v>25204.365979429167</v>
      </c>
      <c r="AR57" s="14"/>
    </row>
    <row r="58" ht="13.5" customHeight="1">
      <c r="AR58" s="14"/>
    </row>
    <row r="59" spans="1:44" ht="13.5" customHeight="1">
      <c r="A59"/>
      <c r="B59" s="14"/>
      <c r="D59" s="14"/>
      <c r="E59" s="14"/>
      <c r="F59" s="14"/>
      <c r="G59" s="14"/>
      <c r="AR59" s="14"/>
    </row>
    <row r="60" spans="2:44" ht="13.5" customHeight="1">
      <c r="B60" s="39">
        <f>D60*E60</f>
        <v>1</v>
      </c>
      <c r="D60">
        <f>1+G52/B56</f>
        <v>2.8704242424242423</v>
      </c>
      <c r="E60">
        <f>1-G53/B56</f>
        <v>0.34838055825345215</v>
      </c>
      <c r="G60"/>
      <c r="AR60" s="14"/>
    </row>
    <row r="61" ht="13.5" customHeight="1">
      <c r="AR61" s="14"/>
    </row>
    <row r="62" ht="13.5" customHeight="1">
      <c r="AR62" s="14"/>
    </row>
    <row r="63" ht="13.5" customHeight="1">
      <c r="AR63" s="14"/>
    </row>
    <row r="64" spans="18:44" ht="13.5" customHeight="1">
      <c r="R64" s="14"/>
      <c r="AR64" s="14"/>
    </row>
    <row r="65" spans="18:44" ht="13.5" customHeight="1">
      <c r="R65" s="14"/>
      <c r="AR65" s="14"/>
    </row>
    <row r="66" spans="18:44" ht="13.5" customHeight="1">
      <c r="R66" s="14"/>
      <c r="AR66" s="14"/>
    </row>
    <row r="67" spans="2:44" ht="13.5" customHeight="1">
      <c r="B67"/>
      <c r="AR67" s="14"/>
    </row>
    <row r="68" ht="12">
      <c r="AR68" s="14"/>
    </row>
    <row r="69" ht="12">
      <c r="AR69" s="14"/>
    </row>
    <row r="70" ht="12">
      <c r="AR70" s="14"/>
    </row>
    <row r="71" ht="12">
      <c r="AR71" s="14"/>
    </row>
    <row r="74" spans="2:17" ht="12">
      <c r="B74" s="39"/>
      <c r="N74" s="14"/>
      <c r="O74" s="14"/>
      <c r="P74" s="14"/>
      <c r="Q74" s="14"/>
    </row>
    <row r="75" spans="2:18" ht="12">
      <c r="B75" s="14"/>
      <c r="C75" s="14"/>
      <c r="D75" s="45"/>
      <c r="E75" s="14"/>
      <c r="F75" s="14"/>
      <c r="G75" s="14"/>
      <c r="H75"/>
      <c r="I75"/>
      <c r="J75"/>
      <c r="M75" s="14"/>
      <c r="R75" s="14"/>
    </row>
  </sheetData>
  <sheetProtection selectLockedCells="1" selectUnlockedCells="1"/>
  <printOptions/>
  <pageMargins left="0.75" right="0.75" top="1" bottom="1" header="0.5" footer="0.5"/>
  <pageSetup horizontalDpi="360" verticalDpi="360" orientation="portrait" r:id="rId4"/>
  <drawing r:id="rId3"/>
  <legacyDrawing r:id="rId2"/>
  <oleObjects>
    <oleObject progId="Photoshop.Image.7" shapeId="75695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SFEcon</cp:lastModifiedBy>
  <cp:lastPrinted>2003-09-03T20:20:08Z</cp:lastPrinted>
  <dcterms:created xsi:type="dcterms:W3CDTF">1997-08-20T22:57:04Z</dcterms:created>
  <dcterms:modified xsi:type="dcterms:W3CDTF">2015-07-08T18:31:49Z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